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916" activeTab="0"/>
  </bookViews>
  <sheets>
    <sheet name="меню 10-н.5-11кл 01,09,2023меги" sheetId="1" r:id="rId1"/>
    <sheet name="накоп. вед.   1-4 весна" sheetId="2" state="hidden" r:id="rId2"/>
    <sheet name="меню 12 дней  5-11 кл (2)" sheetId="3" state="hidden" r:id="rId3"/>
    <sheet name="меню 12 дней  5-11 кл (3)" sheetId="4" state="hidden" r:id="rId4"/>
    <sheet name="меню 12 дней  5-11 кл  " sheetId="5" state="hidden" r:id="rId5"/>
  </sheets>
  <definedNames>
    <definedName name="_xlnm.Print_Area" localSheetId="0">'меню 10-н.5-11кл 01,09,2023меги'!$A$1:$T$314</definedName>
    <definedName name="_xlnm.Print_Area" localSheetId="4">'меню 12 дней  5-11 кл  '!$A$1:$O$476</definedName>
    <definedName name="_xlnm.Print_Area" localSheetId="2">'меню 12 дней  5-11 кл (2)'!$A$1:$O$479</definedName>
    <definedName name="_xlnm.Print_Area" localSheetId="3">'меню 12 дней  5-11 кл (3)'!$A$1:$O$479</definedName>
  </definedNames>
  <calcPr fullCalcOnLoad="1"/>
</workbook>
</file>

<file path=xl/sharedStrings.xml><?xml version="1.0" encoding="utf-8"?>
<sst xmlns="http://schemas.openxmlformats.org/spreadsheetml/2006/main" count="2445" uniqueCount="481">
  <si>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</si>
  <si>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</si>
  <si>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</si>
  <si>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</si>
  <si>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пшеничную высшего сорта,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</si>
  <si>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</si>
  <si>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8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</si>
  <si>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</si>
  <si>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</si>
  <si>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День:      понедельник</t>
  </si>
  <si>
    <t>Неделя:   первая</t>
  </si>
  <si>
    <t>Наименование блюда</t>
  </si>
  <si>
    <t>Выход</t>
  </si>
  <si>
    <t>Цена (руб.,коп.)</t>
  </si>
  <si>
    <t>Наценка %</t>
  </si>
  <si>
    <t>Пищевые вещества</t>
  </si>
  <si>
    <t>ЭЦ</t>
  </si>
  <si>
    <t>(гр./мл.)</t>
  </si>
  <si>
    <t>Б</t>
  </si>
  <si>
    <t>Ж</t>
  </si>
  <si>
    <t>У</t>
  </si>
  <si>
    <t>(ккал.)</t>
  </si>
  <si>
    <t xml:space="preserve">Завтрак  </t>
  </si>
  <si>
    <t>Овощи консервированные (огурец) порционно</t>
  </si>
  <si>
    <t>ттк 120</t>
  </si>
  <si>
    <t>Колбасные изделия отварные с маслом сливочным</t>
  </si>
  <si>
    <t>100/5</t>
  </si>
  <si>
    <t>тк 5</t>
  </si>
  <si>
    <t>Макаронные изделия отварные</t>
  </si>
  <si>
    <t>150</t>
  </si>
  <si>
    <t>Хлеб зерновой "8 злаков"</t>
  </si>
  <si>
    <t>тк37</t>
  </si>
  <si>
    <t>Какао с молоком</t>
  </si>
  <si>
    <t>Обед</t>
  </si>
  <si>
    <t>ттк № 1</t>
  </si>
  <si>
    <t>Щи из свежей капусты с картофелем со сметаной</t>
  </si>
  <si>
    <t>250/10</t>
  </si>
  <si>
    <t>ттк 9</t>
  </si>
  <si>
    <t>Азу</t>
  </si>
  <si>
    <t>Хлеб пшеничный/ "8 злаков"</t>
  </si>
  <si>
    <t>25/25</t>
  </si>
  <si>
    <t>тк111</t>
  </si>
  <si>
    <t>Компот из груш</t>
  </si>
  <si>
    <t xml:space="preserve">  Итого:</t>
  </si>
  <si>
    <t>ВСЕГО  ЗА  ДЕНЬ:                                              льготная категория</t>
  </si>
  <si>
    <t>День:      вторник</t>
  </si>
  <si>
    <t>Неделя:  первая</t>
  </si>
  <si>
    <t>ттк 221</t>
  </si>
  <si>
    <t>Каша пшеннная молочная (жидкая) с маслом сливочным</t>
  </si>
  <si>
    <t>200/5</t>
  </si>
  <si>
    <t>тк 3</t>
  </si>
  <si>
    <t>Чай с сахаром, молоком</t>
  </si>
  <si>
    <t>200/15</t>
  </si>
  <si>
    <t xml:space="preserve">Хлеб пшеничный </t>
  </si>
  <si>
    <t>тк 11</t>
  </si>
  <si>
    <t>Винегрет овощной</t>
  </si>
  <si>
    <t>тк 38</t>
  </si>
  <si>
    <t>Солянка домашняя со сметаной</t>
  </si>
  <si>
    <t>тк39</t>
  </si>
  <si>
    <t>80/5</t>
  </si>
  <si>
    <t>тк 18</t>
  </si>
  <si>
    <t xml:space="preserve">Рис отварной </t>
  </si>
  <si>
    <t>Хлеб ржано-пшеничный</t>
  </si>
  <si>
    <t>День:       среда</t>
  </si>
  <si>
    <t>Неделя:    первая</t>
  </si>
  <si>
    <t>ттк 3</t>
  </si>
  <si>
    <t>Запеканка из творога со сгущенным молоком</t>
  </si>
  <si>
    <t>150/20</t>
  </si>
  <si>
    <t>тк 28</t>
  </si>
  <si>
    <t xml:space="preserve">Суп лапша домашняя с птицей </t>
  </si>
  <si>
    <t>250/25</t>
  </si>
  <si>
    <t>Хлеб пшеничный-"8 злаков"</t>
  </si>
  <si>
    <t>тк 40</t>
  </si>
  <si>
    <t>Напиток из плодов шиповника</t>
  </si>
  <si>
    <t>30-35%</t>
  </si>
  <si>
    <t>День:      четверг</t>
  </si>
  <si>
    <t>Овощи консервированные (кукуруза) порционно</t>
  </si>
  <si>
    <t>ттк 117</t>
  </si>
  <si>
    <t xml:space="preserve">Котлеты, рубленные из цыплят с маслом сливочным </t>
  </si>
  <si>
    <t>тк 35</t>
  </si>
  <si>
    <t>Картофельное пюре</t>
  </si>
  <si>
    <t>Хлеб ржаной йодированный "Дарницкий"</t>
  </si>
  <si>
    <t>тк 15</t>
  </si>
  <si>
    <t xml:space="preserve">Кофейный напиток с молоком </t>
  </si>
  <si>
    <r>
      <t>Обед</t>
    </r>
    <r>
      <rPr>
        <sz val="12"/>
        <rFont val="Times New Roman"/>
        <family val="1"/>
      </rPr>
      <t xml:space="preserve"> </t>
    </r>
  </si>
  <si>
    <t>ттк 153</t>
  </si>
  <si>
    <t>тк 17</t>
  </si>
  <si>
    <t>тк 45</t>
  </si>
  <si>
    <t>Плов по-узбекски</t>
  </si>
  <si>
    <t>День:      пятница</t>
  </si>
  <si>
    <t xml:space="preserve">тк 2 </t>
  </si>
  <si>
    <t>Каша гречневая рассыпчатая</t>
  </si>
  <si>
    <t>Хлеб пшеничный</t>
  </si>
  <si>
    <t>ттк 42</t>
  </si>
  <si>
    <t>Витаминизированный напиток "Валитек" ("Золотой шар")</t>
  </si>
  <si>
    <t>ВСЕГО  ЗА  ДЕНЬ:                                                льготная категория</t>
  </si>
  <si>
    <r>
      <t>День:</t>
    </r>
    <r>
      <rPr>
        <sz val="12"/>
        <rFont val="Times New Roman"/>
        <family val="1"/>
      </rPr>
      <t xml:space="preserve"> субботта</t>
    </r>
  </si>
  <si>
    <r>
      <t xml:space="preserve">Неделя: </t>
    </r>
    <r>
      <rPr>
        <sz val="12"/>
        <rFont val="Times New Roman"/>
        <family val="1"/>
      </rPr>
      <t>первая</t>
    </r>
  </si>
  <si>
    <t>тк 9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</si>
  <si>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Итого:</t>
    </r>
  </si>
  <si>
    <t>ттк 13</t>
  </si>
  <si>
    <t>Суп картофельный с бобовыми</t>
  </si>
  <si>
    <t>тк 33</t>
  </si>
  <si>
    <t xml:space="preserve">Голубцы с мясом и рисом </t>
  </si>
  <si>
    <t>105/50</t>
  </si>
  <si>
    <t>Фрукт свежий (банан)</t>
  </si>
  <si>
    <t>День:        понедельник</t>
  </si>
  <si>
    <t>Неделя:    вторая</t>
  </si>
  <si>
    <t xml:space="preserve">Завтрак </t>
  </si>
  <si>
    <t>ттк 102</t>
  </si>
  <si>
    <t>Каша молочная «Дружба» с маслом сливочным</t>
  </si>
  <si>
    <t>200/10</t>
  </si>
  <si>
    <t>Сыр порционно</t>
  </si>
  <si>
    <t>ттк 119</t>
  </si>
  <si>
    <t xml:space="preserve">Салат из консервированных огурцов с луком </t>
  </si>
  <si>
    <t>ттк 18</t>
  </si>
  <si>
    <t>Свекольник со сметаной</t>
  </si>
  <si>
    <t>№436\04</t>
  </si>
  <si>
    <t>Жаркое по-домашнему</t>
  </si>
  <si>
    <t>50/150</t>
  </si>
  <si>
    <t>Хлеб пшеничный "8 злаков"</t>
  </si>
  <si>
    <t>тк 111</t>
  </si>
  <si>
    <t xml:space="preserve">Компот из яблок </t>
  </si>
  <si>
    <t>День:       вторник</t>
  </si>
  <si>
    <t>Неделя :  вторая</t>
  </si>
  <si>
    <t>тк 92</t>
  </si>
  <si>
    <t>Йогурт сливочный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</si>
  <si>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</si>
  <si>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t>тткк 12</t>
  </si>
  <si>
    <t>Салат "Зимний"</t>
  </si>
  <si>
    <t>ттк 7</t>
  </si>
  <si>
    <t>Борщ из свежей капусты с картофелем со сметаной</t>
  </si>
  <si>
    <t>250 /10</t>
  </si>
  <si>
    <t>ттк 70</t>
  </si>
  <si>
    <t>Каша рисовая рассыпчатая с овощами</t>
  </si>
  <si>
    <t>Неделя:   вторая</t>
  </si>
  <si>
    <t>ттк 16</t>
  </si>
  <si>
    <t>Ватрушка царская (запеканка)</t>
  </si>
  <si>
    <t>Кофейный напиток с молоком</t>
  </si>
  <si>
    <t>ттк199\1</t>
  </si>
  <si>
    <t>тк 1</t>
  </si>
  <si>
    <t xml:space="preserve">Котлеты из говядины с маслом сливочным </t>
  </si>
  <si>
    <t>День:       четверг</t>
  </si>
  <si>
    <t>Раастегай</t>
  </si>
  <si>
    <t>тк 43</t>
  </si>
  <si>
    <t>Суп картофельный с мясными фрикадельками</t>
  </si>
  <si>
    <t>250/15</t>
  </si>
  <si>
    <t>ттк 259</t>
  </si>
  <si>
    <t>Плов из птицы</t>
  </si>
  <si>
    <t>тк 68</t>
  </si>
  <si>
    <t>Компот из апельсинов</t>
  </si>
  <si>
    <t>День:         пятница</t>
  </si>
  <si>
    <t>Неделя:     вторая</t>
  </si>
  <si>
    <t>Овощи консервированные ( горошек) порционно</t>
  </si>
  <si>
    <t>тк 22</t>
  </si>
  <si>
    <t>Рыба жареная (минтай) с маслом сливочным</t>
  </si>
  <si>
    <t xml:space="preserve">тк 3 </t>
  </si>
  <si>
    <t>Фрукт свежий (мандарин)</t>
  </si>
  <si>
    <t>ттк 149</t>
  </si>
  <si>
    <t>Салат "Несвижский"</t>
  </si>
  <si>
    <t>тк 108</t>
  </si>
  <si>
    <t>Суп с клецками</t>
  </si>
  <si>
    <t xml:space="preserve">Каша гречневая </t>
  </si>
  <si>
    <t>тк 19</t>
  </si>
  <si>
    <t>Напиток из яблок</t>
  </si>
  <si>
    <t>День: суббота</t>
  </si>
  <si>
    <t>Неделя:вторая</t>
  </si>
  <si>
    <t>ттк 122</t>
  </si>
  <si>
    <t>Тефтели из говядины с соусом</t>
  </si>
  <si>
    <t>80/50</t>
  </si>
  <si>
    <t>Рис отварной</t>
  </si>
  <si>
    <t>Чай с сахаром</t>
  </si>
  <si>
    <t>ттк 172\д</t>
  </si>
  <si>
    <t xml:space="preserve">Салат "Оригинальный" </t>
  </si>
  <si>
    <t>тк 82</t>
  </si>
  <si>
    <t>тк 63</t>
  </si>
  <si>
    <t>Биточки паровые (говядина) с маслом сливочным</t>
  </si>
  <si>
    <t>ттк 245</t>
  </si>
  <si>
    <t>А. И. Лунгу</t>
  </si>
  <si>
    <t xml:space="preserve">Суп овощной со сметаной </t>
  </si>
  <si>
    <t>ВСЕГО ЗАВТРАК И ОБЕД ЗА 10 ДНЕЙ</t>
  </si>
  <si>
    <t>Фрукт свежий (груша)</t>
  </si>
  <si>
    <t xml:space="preserve">Рагу овощное </t>
  </si>
  <si>
    <t>ттк 15</t>
  </si>
  <si>
    <t>ттк 182</t>
  </si>
  <si>
    <t>?????????</t>
  </si>
  <si>
    <t>Котлеты рыбные из горбуши</t>
  </si>
  <si>
    <t>ттк2/а</t>
  </si>
  <si>
    <t>Запеканка картофельная с мясом, с  маслом сливочным</t>
  </si>
  <si>
    <t xml:space="preserve">Напиток из клюквы </t>
  </si>
  <si>
    <t xml:space="preserve">ттк  5 </t>
  </si>
  <si>
    <t>Сок фруктовый разливной</t>
  </si>
  <si>
    <t>Какао "Несквик"</t>
  </si>
  <si>
    <t xml:space="preserve">тк 1 </t>
  </si>
  <si>
    <t>Котлета мясная с маслом сливочным</t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</si>
  <si>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 и обед)              льготная категория</t>
    </r>
  </si>
  <si>
    <t xml:space="preserve">Гуляш из говядины </t>
  </si>
  <si>
    <t>75/50</t>
  </si>
  <si>
    <t>ттк 1/а</t>
  </si>
  <si>
    <t>Напиток из брусники</t>
  </si>
  <si>
    <t>Цена, руб.коп</t>
  </si>
  <si>
    <t xml:space="preserve">Яйцо отварное </t>
  </si>
  <si>
    <t>1шт</t>
  </si>
  <si>
    <t>ув.мол.</t>
  </si>
  <si>
    <t>Сыр (порционно)</t>
  </si>
  <si>
    <t xml:space="preserve">Котлета рыбная любительская из минтая с маслом сливочным </t>
  </si>
  <si>
    <t xml:space="preserve">Сердце тушеное в соусе </t>
  </si>
  <si>
    <t>ув.мол</t>
  </si>
  <si>
    <t>Каша гречневая рассыпчатая с луком</t>
  </si>
  <si>
    <t>новые цены</t>
  </si>
  <si>
    <t>ттк137</t>
  </si>
  <si>
    <t>Сезон:   весенне-летний</t>
  </si>
  <si>
    <t xml:space="preserve">Зразы рыбные с яйцом из минтая </t>
  </si>
  <si>
    <t>Винегрет с морской капустой</t>
  </si>
  <si>
    <t xml:space="preserve">Юшка гороховая с колбасой п/к </t>
  </si>
  <si>
    <t>Сосиска отварная с маслом сливочным</t>
  </si>
  <si>
    <t xml:space="preserve">Макаронные изделия отварные </t>
  </si>
  <si>
    <t>Фрукт свежий (апельсин)</t>
  </si>
  <si>
    <t>ВСЕГО  ЗА  ДЕНЬ:                                льготная категория</t>
  </si>
  <si>
    <t>50/5</t>
  </si>
  <si>
    <t xml:space="preserve">ВСЕГО  ЗА  ДЕНЬ:                         </t>
  </si>
  <si>
    <t xml:space="preserve">Макаронные изделия запеченные с сыром </t>
  </si>
  <si>
    <t>1 шт</t>
  </si>
  <si>
    <t>ув.м.</t>
  </si>
  <si>
    <t>Суп крестьянский  с крупой с мясом</t>
  </si>
  <si>
    <t>150/5</t>
  </si>
  <si>
    <t>Итого:</t>
  </si>
  <si>
    <r>
      <t>ВСЕГО ЗАВТРАК  ЗА 12 ДНЕЙ :</t>
    </r>
    <r>
      <rPr>
        <b/>
        <sz val="9"/>
        <rFont val="Times New Roman"/>
        <family val="1"/>
      </rPr>
      <t xml:space="preserve">                             </t>
    </r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</si>
  <si>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</si>
  <si>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t xml:space="preserve">ВСЕГО  ЗА  ДЕНЬ: </t>
  </si>
  <si>
    <t>ВСЕГО ОБЕД ЗА 12 ДНЕЙ:</t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</si>
  <si>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</si>
  <si>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 xml:space="preserve">ВСЕГО  ЗА  ДЕНЬ:  </t>
  </si>
  <si>
    <t xml:space="preserve">ВСЕГО  ЗА  ДЕНЬ:                               </t>
  </si>
  <si>
    <t xml:space="preserve">ВСЕГО  ЗА  ДЕНЬ:                                           </t>
  </si>
  <si>
    <t xml:space="preserve">ВСЕГО  ЗА  ДЕНЬ:                                    </t>
  </si>
  <si>
    <t xml:space="preserve">ВСЕГО  ЗА  ДЕНЬ:                                         </t>
  </si>
  <si>
    <t xml:space="preserve">Суп овощной с помидорами со сметаной </t>
  </si>
  <si>
    <t xml:space="preserve">  (7 - 10 лет )</t>
  </si>
  <si>
    <t>Наименование продуктов</t>
  </si>
  <si>
    <t>Нормы в день в гр., мл., (нетто)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</si>
  <si>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</si>
  <si>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</si>
  <si>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</si>
  <si>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</si>
  <si>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</si>
  <si>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</si>
  <si>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</si>
  <si>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</si>
  <si>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</si>
  <si>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</si>
  <si>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Фактические нормы за 10 дней</t>
  </si>
  <si>
    <t>Фактические нормы   на 1 ребенка в день</t>
  </si>
  <si>
    <t>Отклонение                            +     -</t>
  </si>
  <si>
    <t>Мука пшеничная</t>
  </si>
  <si>
    <t>Крупа, бобовые</t>
  </si>
  <si>
    <t xml:space="preserve">   </t>
  </si>
  <si>
    <t>Макаронные изделия</t>
  </si>
  <si>
    <t>Картофель</t>
  </si>
  <si>
    <t>Овощи свежие, зелень</t>
  </si>
  <si>
    <t>Фрукты(плоды) свежие</t>
  </si>
  <si>
    <t>Фрукты (плоды) сух, шипов</t>
  </si>
  <si>
    <t>Соки, золотой шар</t>
  </si>
  <si>
    <t>Мясо говядина</t>
  </si>
  <si>
    <t>Цыплята охлажденные</t>
  </si>
  <si>
    <t>Рыба</t>
  </si>
  <si>
    <t>Колбасные изделия</t>
  </si>
  <si>
    <t>Молоко 3,2%</t>
  </si>
  <si>
    <t>Кисломолочные продукты</t>
  </si>
  <si>
    <t>Творог 9%</t>
  </si>
  <si>
    <t>Сыр</t>
  </si>
  <si>
    <t>Сметана 15%</t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</si>
  <si>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</si>
  <si>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</si>
  <si>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</si>
  <si>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</si>
  <si>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</si>
  <si>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</si>
  <si>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</si>
  <si>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сухие</t>
  </si>
  <si>
    <t>Соль</t>
  </si>
  <si>
    <t>Чай с сахаром, лимоном</t>
  </si>
  <si>
    <t>200/15/7</t>
  </si>
  <si>
    <t xml:space="preserve">ВСЕГО  ЗА  ДЕНЬ:                                 </t>
  </si>
  <si>
    <t xml:space="preserve">ВСЕГО  ЗА  ДЕНЬ:                                            </t>
  </si>
  <si>
    <t xml:space="preserve">ВСЕГО  ЗА  ДЕНЬ:                                        </t>
  </si>
  <si>
    <t>Начальник отдела общественного питания МАУ "КОПУСС"</t>
  </si>
  <si>
    <t>,</t>
  </si>
  <si>
    <t>Рассольник Ленинградскй со сметаной</t>
  </si>
  <si>
    <t>Йогурт</t>
  </si>
  <si>
    <t>№519/2004</t>
  </si>
  <si>
    <t>Картофель в молоке</t>
  </si>
  <si>
    <t>Рагу овощное с кабачками</t>
  </si>
  <si>
    <t>Фрукт свежий (яблоко)</t>
  </si>
  <si>
    <t>Овощи консервированные (горошек) порционно</t>
  </si>
  <si>
    <t>Салат оригинальный</t>
  </si>
  <si>
    <t xml:space="preserve">Икра кабачковая </t>
  </si>
  <si>
    <t>Овощи консервированные (помидоры) порционно</t>
  </si>
  <si>
    <t>Свекла отварная с маслом растительным</t>
  </si>
  <si>
    <t>Картофель тушеный с луком</t>
  </si>
  <si>
    <t>Салат "Степной"</t>
  </si>
  <si>
    <t>тк№43,          1997 2ч.</t>
  </si>
  <si>
    <t>Салат из секлы с сыром с маслом растительным</t>
  </si>
  <si>
    <t>Икра свекольная</t>
  </si>
  <si>
    <t>таб24</t>
  </si>
  <si>
    <t>Салат из свеклы с маслом растительным</t>
  </si>
  <si>
    <t>ттк29</t>
  </si>
  <si>
    <t>Напиток "Несквик"</t>
  </si>
  <si>
    <t>ттк118</t>
  </si>
  <si>
    <t>таб.24</t>
  </si>
  <si>
    <t>тк12</t>
  </si>
  <si>
    <t>тк2</t>
  </si>
  <si>
    <t>Компот из сухофруктов</t>
  </si>
  <si>
    <t>тк6</t>
  </si>
  <si>
    <t>Сезон:   осенне зимний</t>
  </si>
  <si>
    <t>тк172</t>
  </si>
  <si>
    <t>Салат "Заря"</t>
  </si>
  <si>
    <t>ттк10</t>
  </si>
  <si>
    <t xml:space="preserve">Суп лапша домашняя с мясом </t>
  </si>
  <si>
    <t>Котлеты рыбные ( минтай)</t>
  </si>
  <si>
    <t>ттк 265</t>
  </si>
  <si>
    <t xml:space="preserve">ВСЕГО  ЗА  ДЕНЬ:                                             </t>
  </si>
  <si>
    <t xml:space="preserve">ВСЕГО  ЗА  ДЕНЬ:                                                </t>
  </si>
  <si>
    <t>тк294</t>
  </si>
  <si>
    <t xml:space="preserve">Зразы рыбные с яйцом ( минтай) </t>
  </si>
  <si>
    <t>тк29</t>
  </si>
  <si>
    <t>ттк142</t>
  </si>
  <si>
    <t>тк 148</t>
  </si>
  <si>
    <t xml:space="preserve">Котлеты Хмельницкие с маслом сливочным </t>
  </si>
  <si>
    <t>тк№25Д</t>
  </si>
  <si>
    <t>Салат "Витаминный"</t>
  </si>
  <si>
    <t>тк35Д</t>
  </si>
  <si>
    <t>Салат из свеклы и моркови</t>
  </si>
  <si>
    <t>Итого за 12 дней</t>
  </si>
  <si>
    <t xml:space="preserve">             </t>
  </si>
  <si>
    <t>З.А.Слотюк</t>
  </si>
  <si>
    <t>Технолог отдела общественного питания</t>
  </si>
  <si>
    <t>И.И.Корниенко</t>
  </si>
  <si>
    <t>тк4</t>
  </si>
  <si>
    <t>тк30</t>
  </si>
  <si>
    <t>тк5</t>
  </si>
  <si>
    <t xml:space="preserve"> И.О.Начальник отдела общественного питания</t>
  </si>
  <si>
    <t>Итого  в среднем за 1 день</t>
  </si>
  <si>
    <t>ттк136</t>
  </si>
  <si>
    <t>ттк104</t>
  </si>
  <si>
    <t>ттк103</t>
  </si>
  <si>
    <t>Фрукт свежий(банан)</t>
  </si>
  <si>
    <t xml:space="preserve">Фрукт свежий(апельсин) </t>
  </si>
  <si>
    <t>для учащихся 5-11классов</t>
  </si>
  <si>
    <t>Печенье фасованное</t>
  </si>
  <si>
    <t>Фрукт свежий(апельсин)</t>
  </si>
  <si>
    <t xml:space="preserve">Фрукт свежий (яблоко) </t>
  </si>
  <si>
    <t xml:space="preserve">старое Накопительная ведомость за 10 дней </t>
  </si>
  <si>
    <t>Рагу из говядины</t>
  </si>
  <si>
    <t xml:space="preserve">Итого </t>
  </si>
  <si>
    <t xml:space="preserve">Картофельное пюре </t>
  </si>
  <si>
    <t>День:         четверг</t>
  </si>
  <si>
    <t xml:space="preserve">Технолог отдела общественного питания </t>
  </si>
  <si>
    <t>Овощи свежие (огурец) порционно</t>
  </si>
  <si>
    <r>
      <t xml:space="preserve">* Используемая литература:  </t>
    </r>
    <r>
      <rPr>
        <sz val="10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</si>
  <si>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</si>
  <si>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t>тк10</t>
  </si>
  <si>
    <t>тк35</t>
  </si>
  <si>
    <t>День:     понедельник</t>
  </si>
  <si>
    <t xml:space="preserve">ВСЕГО ЗАВТРАК  ЗА 10 ДНЕЙ :                             </t>
  </si>
  <si>
    <t xml:space="preserve">Ватрушка Царская (запеканка) </t>
  </si>
  <si>
    <t xml:space="preserve">Напиток кофейный с молоком  </t>
  </si>
  <si>
    <t>ттк232</t>
  </si>
  <si>
    <t>День:      среда</t>
  </si>
  <si>
    <t>тк90</t>
  </si>
  <si>
    <t xml:space="preserve">Чай с сахаром </t>
  </si>
  <si>
    <t>Хлеб "Пшеничный" йодированный в/с</t>
  </si>
  <si>
    <t xml:space="preserve">  </t>
  </si>
  <si>
    <t>Хлеб  ржаной"Дарницкий"</t>
  </si>
  <si>
    <t>ттк258</t>
  </si>
  <si>
    <t>ттк459</t>
  </si>
  <si>
    <t>Чай с сахаром и лимоном</t>
  </si>
  <si>
    <t>тк27</t>
  </si>
  <si>
    <t>ттк70</t>
  </si>
  <si>
    <t>скур.т8</t>
  </si>
  <si>
    <t>ттк134</t>
  </si>
  <si>
    <t>Какао  с витаминами</t>
  </si>
  <si>
    <t>Витамины, мг</t>
  </si>
  <si>
    <t>Са</t>
  </si>
  <si>
    <t>Mg</t>
  </si>
  <si>
    <t>P</t>
  </si>
  <si>
    <t>Fe</t>
  </si>
  <si>
    <t>B1</t>
  </si>
  <si>
    <t>C</t>
  </si>
  <si>
    <t>Минеральн. вещ-ва, мг</t>
  </si>
  <si>
    <t>ттк453</t>
  </si>
  <si>
    <t>Гуляш из  отварной говядины</t>
  </si>
  <si>
    <t>ттк204</t>
  </si>
  <si>
    <t>Рыба(горбуша)запеченая с сыром</t>
  </si>
  <si>
    <t>Батон столовый</t>
  </si>
  <si>
    <t>Каша рисовая рассып.  с овощами на масле сл.</t>
  </si>
  <si>
    <t>Запеканка творожная со сгущенным молоком</t>
  </si>
  <si>
    <t>Фрукты свежие(яблоко)</t>
  </si>
  <si>
    <t>ттк265</t>
  </si>
  <si>
    <t>ттк151</t>
  </si>
  <si>
    <t>Йогурт фруктовый(живые культуры)</t>
  </si>
  <si>
    <t>ттк438</t>
  </si>
  <si>
    <t xml:space="preserve"> Кнели из птицы с соусом</t>
  </si>
  <si>
    <t>ттк403</t>
  </si>
  <si>
    <t>таб.8      Скурихин</t>
  </si>
  <si>
    <t>Икра кабачковая (пром.)</t>
  </si>
  <si>
    <t>ттк243</t>
  </si>
  <si>
    <t>Фрукты свежие( мандарины)</t>
  </si>
  <si>
    <t>таб.9      Скурихин</t>
  </si>
  <si>
    <t>пищевых продуктов, приложение 11  СанПиН 2.3/2.4.3590-20)</t>
  </si>
  <si>
    <t xml:space="preserve">консервы  овощные, сок в ассортименте, хлеб пшеничный  йодированный, хлеб с ламинариями. </t>
  </si>
  <si>
    <t>№ рецептуры</t>
  </si>
  <si>
    <t>ттк6</t>
  </si>
  <si>
    <t>Омлет натуральный</t>
  </si>
  <si>
    <t>B2</t>
  </si>
  <si>
    <t>D,мкг</t>
  </si>
  <si>
    <t>К</t>
  </si>
  <si>
    <t>A,мкг     рет.</t>
  </si>
  <si>
    <r>
      <t>Йод</t>
    </r>
    <r>
      <rPr>
        <b/>
        <sz val="10"/>
        <rFont val="Times New Roman"/>
        <family val="1"/>
      </rPr>
      <t>,мкг</t>
    </r>
  </si>
  <si>
    <t>Se,        мкг</t>
  </si>
  <si>
    <t>F,        мкг</t>
  </si>
  <si>
    <t>Фрукты свежие(мандарины)</t>
  </si>
  <si>
    <t xml:space="preserve">1 вариант </t>
  </si>
  <si>
    <t xml:space="preserve">2 вариант </t>
  </si>
  <si>
    <t>Каша молочная рисовая с маслом сл.</t>
  </si>
  <si>
    <t>День:     вторник</t>
  </si>
  <si>
    <t>Какао  с витаминами "Витошка"</t>
  </si>
  <si>
    <t xml:space="preserve">Напиток кофейный  с молоком  </t>
  </si>
  <si>
    <t>Отвар из смеси сухофруктов</t>
  </si>
  <si>
    <t>Яйцо отварное</t>
  </si>
  <si>
    <t>Чай с грушей и апельсином</t>
  </si>
  <si>
    <t>тк16</t>
  </si>
  <si>
    <t>тк27/1</t>
  </si>
  <si>
    <t>для обучающихся 5-11 классов    возраст старше 12 лет</t>
  </si>
  <si>
    <t xml:space="preserve">Овощи свежие (огурец) порционно </t>
  </si>
  <si>
    <t>т.9 Скур.</t>
  </si>
  <si>
    <t>родительская плата</t>
  </si>
  <si>
    <r>
      <t>Напиток "Здоровье"</t>
    </r>
    <r>
      <rPr>
        <sz val="12"/>
        <rFont val="Times New Roman"/>
        <family val="1"/>
      </rPr>
      <t>(чай с шиповн.)</t>
    </r>
  </si>
  <si>
    <r>
      <t>Хлеб  северный (</t>
    </r>
    <r>
      <rPr>
        <sz val="12"/>
        <rFont val="Times New Roman"/>
        <family val="1"/>
      </rPr>
      <t>с ламинариями)</t>
    </r>
  </si>
  <si>
    <t>ттк110</t>
  </si>
  <si>
    <t>Тефтели из говядины с рисом с соусом томатным</t>
  </si>
  <si>
    <t>ттк523</t>
  </si>
  <si>
    <t>Гуляш из птицы в соусе молочном</t>
  </si>
  <si>
    <t>тк174</t>
  </si>
  <si>
    <t>Запеканка рисовая с творогом со сгущенным молоком</t>
  </si>
  <si>
    <t>Каша гречневая с луком</t>
  </si>
  <si>
    <t>ттк434</t>
  </si>
  <si>
    <t>Кисель "Витошка"</t>
  </si>
  <si>
    <t>ттк37</t>
  </si>
  <si>
    <t>Сырники из творога со сгущенным молоком</t>
  </si>
  <si>
    <t>Овощи свежие (помидор) порционно</t>
  </si>
  <si>
    <t>ттк121/1</t>
  </si>
  <si>
    <t>Печень по-строгановски</t>
  </si>
  <si>
    <t>ттк459/1</t>
  </si>
  <si>
    <r>
      <t>Напиток "таежный"(</t>
    </r>
    <r>
      <rPr>
        <sz val="10"/>
        <rFont val="Times New Roman"/>
        <family val="1"/>
      </rPr>
      <t>чай с брусникой</t>
    </r>
    <r>
      <rPr>
        <sz val="14"/>
        <rFont val="Times New Roman"/>
        <family val="1"/>
      </rPr>
      <t>)</t>
    </r>
  </si>
  <si>
    <t xml:space="preserve">Плов  из птицы(филе) </t>
  </si>
  <si>
    <t>ттк117</t>
  </si>
  <si>
    <t xml:space="preserve">Котлета рубленая из птицы(филе)  </t>
  </si>
  <si>
    <t>ттк319</t>
  </si>
  <si>
    <t>Ризотто школьное</t>
  </si>
  <si>
    <t>ттк39</t>
  </si>
  <si>
    <t>Сок  фруктовый с трубочкой</t>
  </si>
  <si>
    <r>
      <rPr>
        <sz val="14"/>
        <rFont val="Times New Roman"/>
        <family val="1"/>
      </rPr>
      <t>Котлета "Золотая рыбка"</t>
    </r>
    <r>
      <rPr>
        <sz val="12"/>
        <rFont val="Times New Roman"/>
        <family val="1"/>
      </rPr>
      <t>(минтай+цыплята)</t>
    </r>
  </si>
  <si>
    <t>Салат из свежих огурцов с  зел.луком</t>
  </si>
  <si>
    <t>Бутерброд(батон) с колбасой п/к</t>
  </si>
  <si>
    <t>ттк320</t>
  </si>
  <si>
    <t>Ватрушка с творогом</t>
  </si>
  <si>
    <t>ттк516</t>
  </si>
  <si>
    <t>Салат "Уральский"</t>
  </si>
  <si>
    <t>Какао  "Хрутка"</t>
  </si>
  <si>
    <t>Каша пшенная молочная  с маслом сл.</t>
  </si>
  <si>
    <t>тк302</t>
  </si>
  <si>
    <t>Каша ячневая вязкая</t>
  </si>
  <si>
    <t>Сезон:  осенне-зимний</t>
  </si>
  <si>
    <r>
      <t xml:space="preserve">таб.8     </t>
    </r>
    <r>
      <rPr>
        <sz val="8"/>
        <rFont val="Times New Roman"/>
        <family val="1"/>
      </rPr>
      <t xml:space="preserve"> Скурихин</t>
    </r>
  </si>
  <si>
    <t xml:space="preserve">Овощи свежие (помидор) порционно </t>
  </si>
  <si>
    <t>Салат "Школьный"</t>
  </si>
  <si>
    <t xml:space="preserve">    </t>
  </si>
  <si>
    <r>
      <t xml:space="preserve">таб.9     </t>
    </r>
    <r>
      <rPr>
        <sz val="8"/>
        <rFont val="Times New Roman"/>
        <family val="1"/>
      </rPr>
      <t xml:space="preserve"> Скурихин</t>
    </r>
  </si>
  <si>
    <t>Бутерброд(батон) с колбасой п/к  и сыром твердых сортов</t>
  </si>
  <si>
    <t>Бутерброд(батон) с  сыром твердых сортов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</si>
</sst>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  <numFmt numFmtId="183" formatCode="#,##0.000"/>
    <numFmt numFmtId="184" formatCode="#,##0.0"/>
    <numFmt numFmtId="185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517">
    <xf numFmtId="0" fontId="0" fillId="0" borderId="0" xfId="0" applyFont="1" applyAlignment="1">
      <alignment/>
    </xf>
    <xf numFmtId="0" fontId="3" fillId="0" borderId="0" xfId="53" applyFont="1">
      <alignment/>
      <protection/>
    </xf>
    <xf numFmtId="1" fontId="3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Border="1">
      <alignment/>
      <protection/>
    </xf>
    <xf numFmtId="0" fontId="2" fillId="0" borderId="0" xfId="53">
      <alignment/>
      <protection/>
    </xf>
    <xf numFmtId="0" fontId="5" fillId="0" borderId="0" xfId="53" applyFont="1">
      <alignment/>
      <protection/>
    </xf>
    <xf numFmtId="1" fontId="5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0" fontId="6" fillId="0" borderId="0" xfId="53" applyFont="1">
      <alignment/>
      <protection/>
    </xf>
    <xf numFmtId="1" fontId="6" fillId="0" borderId="0" xfId="53" applyNumberFormat="1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8" fillId="0" borderId="0" xfId="53" applyFont="1" applyAlignment="1">
      <alignment horizontal="left"/>
      <protection/>
    </xf>
    <xf numFmtId="2" fontId="2" fillId="0" borderId="0" xfId="53" applyNumberFormat="1">
      <alignment/>
      <protection/>
    </xf>
    <xf numFmtId="1" fontId="2" fillId="0" borderId="0" xfId="53" applyNumberFormat="1">
      <alignment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10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0" fontId="2" fillId="0" borderId="0" xfId="53" applyBorder="1">
      <alignment/>
      <protection/>
    </xf>
    <xf numFmtId="0" fontId="12" fillId="0" borderId="12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2" fontId="12" fillId="0" borderId="11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right"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2" fontId="14" fillId="0" borderId="11" xfId="53" applyNumberFormat="1" applyFont="1" applyBorder="1" applyAlignment="1">
      <alignment horizontal="center" vertical="top" wrapText="1"/>
      <protection/>
    </xf>
    <xf numFmtId="2" fontId="15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top" wrapText="1"/>
      <protection/>
    </xf>
    <xf numFmtId="172" fontId="2" fillId="0" borderId="0" xfId="53" applyNumberFormat="1" applyFont="1">
      <alignment/>
      <protection/>
    </xf>
    <xf numFmtId="1" fontId="12" fillId="0" borderId="0" xfId="53" applyNumberFormat="1" applyFont="1" applyBorder="1" applyAlignment="1">
      <alignment horizontal="center" vertical="top" wrapText="1"/>
      <protection/>
    </xf>
    <xf numFmtId="2" fontId="12" fillId="0" borderId="0" xfId="53" applyNumberFormat="1" applyFont="1" applyBorder="1" applyAlignment="1">
      <alignment horizontal="center" vertical="top" wrapText="1"/>
      <protection/>
    </xf>
    <xf numFmtId="2" fontId="11" fillId="0" borderId="0" xfId="53" applyNumberFormat="1" applyFont="1" applyBorder="1" applyAlignment="1">
      <alignment horizontal="center" vertical="top" wrapText="1"/>
      <protection/>
    </xf>
    <xf numFmtId="2" fontId="14" fillId="0" borderId="0" xfId="53" applyNumberFormat="1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horizontal="center" vertical="top" wrapText="1"/>
      <protection/>
    </xf>
    <xf numFmtId="1" fontId="14" fillId="0" borderId="0" xfId="53" applyNumberFormat="1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2" fillId="33" borderId="0" xfId="53" applyFill="1">
      <alignment/>
      <protection/>
    </xf>
    <xf numFmtId="0" fontId="17" fillId="0" borderId="0" xfId="53" applyFont="1" applyBorder="1">
      <alignment/>
      <protection/>
    </xf>
    <xf numFmtId="2" fontId="10" fillId="0" borderId="11" xfId="53" applyNumberFormat="1" applyFont="1" applyBorder="1" applyAlignment="1">
      <alignment horizontal="center" vertical="top" wrapText="1"/>
      <protection/>
    </xf>
    <xf numFmtId="1" fontId="9" fillId="0" borderId="0" xfId="53" applyNumberFormat="1" applyFont="1">
      <alignment/>
      <protection/>
    </xf>
    <xf numFmtId="2" fontId="9" fillId="0" borderId="0" xfId="53" applyNumberFormat="1" applyFont="1">
      <alignment/>
      <protection/>
    </xf>
    <xf numFmtId="2" fontId="18" fillId="0" borderId="0" xfId="53" applyNumberFormat="1" applyFont="1" applyFill="1" applyBorder="1" applyAlignment="1">
      <alignment horizontal="center" vertical="top" wrapText="1"/>
      <protection/>
    </xf>
    <xf numFmtId="1" fontId="13" fillId="0" borderId="11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Fill="1" applyBorder="1" applyAlignment="1">
      <alignment horizontal="center" vertical="top" wrapText="1"/>
      <protection/>
    </xf>
    <xf numFmtId="0" fontId="2" fillId="32" borderId="0" xfId="53" applyFill="1" applyBorder="1">
      <alignment/>
      <protection/>
    </xf>
    <xf numFmtId="0" fontId="12" fillId="0" borderId="0" xfId="53" applyFont="1" applyBorder="1" applyAlignment="1">
      <alignment horizontal="left" vertical="center" wrapText="1"/>
      <protection/>
    </xf>
    <xf numFmtId="2" fontId="10" fillId="0" borderId="0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1" fontId="4" fillId="0" borderId="0" xfId="53" applyNumberFormat="1" applyFont="1">
      <alignment/>
      <protection/>
    </xf>
    <xf numFmtId="2" fontId="4" fillId="0" borderId="0" xfId="53" applyNumberFormat="1" applyFont="1">
      <alignment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left" vertical="center"/>
      <protection/>
    </xf>
    <xf numFmtId="0" fontId="11" fillId="0" borderId="0" xfId="53" applyFont="1">
      <alignment/>
      <protection/>
    </xf>
    <xf numFmtId="0" fontId="8" fillId="0" borderId="0" xfId="53" applyFont="1" applyBorder="1" applyAlignment="1">
      <alignment horizontal="center" vertical="top" wrapText="1"/>
      <protection/>
    </xf>
    <xf numFmtId="1" fontId="11" fillId="0" borderId="0" xfId="53" applyNumberFormat="1" applyFont="1">
      <alignment/>
      <protection/>
    </xf>
    <xf numFmtId="2" fontId="11" fillId="0" borderId="0" xfId="53" applyNumberFormat="1" applyFont="1">
      <alignment/>
      <protection/>
    </xf>
    <xf numFmtId="0" fontId="9" fillId="0" borderId="0" xfId="53" applyFont="1" applyAlignment="1">
      <alignment horizontal="left"/>
      <protection/>
    </xf>
    <xf numFmtId="2" fontId="2" fillId="32" borderId="0" xfId="53" applyNumberFormat="1" applyFill="1">
      <alignment/>
      <protection/>
    </xf>
    <xf numFmtId="1" fontId="2" fillId="32" borderId="0" xfId="53" applyNumberFormat="1" applyFill="1">
      <alignment/>
      <protection/>
    </xf>
    <xf numFmtId="0" fontId="12" fillId="0" borderId="12" xfId="53" applyFont="1" applyBorder="1" applyAlignment="1">
      <alignment vertical="center" wrapText="1"/>
      <protection/>
    </xf>
    <xf numFmtId="0" fontId="12" fillId="0" borderId="16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172" fontId="16" fillId="0" borderId="0" xfId="53" applyNumberFormat="1" applyFont="1" applyBorder="1" applyAlignment="1">
      <alignment horizontal="center" vertical="top" wrapText="1"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Fill="1" applyBorder="1" applyAlignment="1">
      <alignment horizontal="center"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1" fontId="11" fillId="0" borderId="0" xfId="53" applyNumberFormat="1" applyFont="1" applyBorder="1" applyAlignment="1">
      <alignment horizontal="center" vertical="top" wrapText="1"/>
      <protection/>
    </xf>
    <xf numFmtId="172" fontId="11" fillId="0" borderId="0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top" wrapText="1"/>
      <protection/>
    </xf>
    <xf numFmtId="0" fontId="10" fillId="0" borderId="0" xfId="53" applyFont="1" applyBorder="1" applyAlignment="1">
      <alignment horizontal="center" vertical="top" wrapText="1"/>
      <protection/>
    </xf>
    <xf numFmtId="0" fontId="10" fillId="0" borderId="0" xfId="53" applyNumberFormat="1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vertical="center"/>
      <protection/>
    </xf>
    <xf numFmtId="0" fontId="10" fillId="0" borderId="13" xfId="53" applyFont="1" applyBorder="1" applyAlignment="1">
      <alignment vertical="center"/>
      <protection/>
    </xf>
    <xf numFmtId="2" fontId="20" fillId="0" borderId="11" xfId="53" applyNumberFormat="1" applyFont="1" applyBorder="1" applyAlignment="1">
      <alignment horizontal="center" vertical="center" wrapText="1"/>
      <protection/>
    </xf>
    <xf numFmtId="2" fontId="11" fillId="0" borderId="11" xfId="53" applyNumberFormat="1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left" vertical="center"/>
      <protection/>
    </xf>
    <xf numFmtId="0" fontId="10" fillId="0" borderId="13" xfId="53" applyFont="1" applyBorder="1" applyAlignment="1">
      <alignment horizontal="justify" vertical="center"/>
      <protection/>
    </xf>
    <xf numFmtId="2" fontId="10" fillId="0" borderId="13" xfId="53" applyNumberFormat="1" applyFont="1" applyBorder="1" applyAlignment="1">
      <alignment horizontal="center" vertical="top" wrapText="1"/>
      <protection/>
    </xf>
    <xf numFmtId="1" fontId="10" fillId="0" borderId="13" xfId="53" applyNumberFormat="1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6" fillId="0" borderId="0" xfId="53" applyFont="1" applyAlignment="1">
      <alignment horizontal="left"/>
      <protection/>
    </xf>
    <xf numFmtId="49" fontId="2" fillId="0" borderId="0" xfId="53" applyNumberFormat="1">
      <alignment/>
      <protection/>
    </xf>
    <xf numFmtId="2" fontId="10" fillId="0" borderId="11" xfId="53" applyNumberFormat="1" applyFont="1" applyBorder="1" applyAlignment="1">
      <alignment horizontal="center" vertical="center" wrapText="1"/>
      <protection/>
    </xf>
    <xf numFmtId="2" fontId="2" fillId="0" borderId="0" xfId="53" applyNumberFormat="1" applyBorder="1">
      <alignment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vertical="center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Fill="1" applyBorder="1" applyAlignment="1">
      <alignment vertical="top" wrapText="1"/>
      <protection/>
    </xf>
    <xf numFmtId="0" fontId="8" fillId="0" borderId="18" xfId="53" applyFont="1" applyFill="1" applyBorder="1" applyAlignment="1">
      <alignment horizontal="center" vertical="top" wrapText="1"/>
      <protection/>
    </xf>
    <xf numFmtId="2" fontId="8" fillId="0" borderId="18" xfId="53" applyNumberFormat="1" applyFont="1" applyFill="1" applyBorder="1" applyAlignment="1">
      <alignment horizontal="center" vertical="top" wrapText="1"/>
      <protection/>
    </xf>
    <xf numFmtId="1" fontId="8" fillId="0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8" xfId="53" applyFont="1" applyBorder="1" applyAlignment="1">
      <alignment vertical="top" wrapText="1"/>
      <protection/>
    </xf>
    <xf numFmtId="1" fontId="8" fillId="0" borderId="18" xfId="53" applyNumberFormat="1" applyFont="1" applyBorder="1" applyAlignment="1">
      <alignment horizontal="center" vertical="top" wrapText="1"/>
      <protection/>
    </xf>
    <xf numFmtId="2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NumberFormat="1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vertical="center"/>
      <protection/>
    </xf>
    <xf numFmtId="2" fontId="12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 wrapText="1"/>
      <protection/>
    </xf>
    <xf numFmtId="0" fontId="8" fillId="32" borderId="18" xfId="53" applyFont="1" applyFill="1" applyBorder="1" applyAlignment="1">
      <alignment horizontal="center" vertical="top" wrapText="1"/>
      <protection/>
    </xf>
    <xf numFmtId="2" fontId="8" fillId="32" borderId="18" xfId="53" applyNumberFormat="1" applyFont="1" applyFill="1" applyBorder="1" applyAlignment="1">
      <alignment horizontal="center" vertical="top" wrapText="1"/>
      <protection/>
    </xf>
    <xf numFmtId="1" fontId="8" fillId="32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right" vertical="top" wrapText="1"/>
      <protection/>
    </xf>
    <xf numFmtId="0" fontId="13" fillId="0" borderId="18" xfId="53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/>
      <protection/>
    </xf>
    <xf numFmtId="2" fontId="14" fillId="0" borderId="19" xfId="53" applyNumberFormat="1" applyFont="1" applyBorder="1" applyAlignment="1">
      <alignment horizontal="center" vertical="top" wrapText="1"/>
      <protection/>
    </xf>
    <xf numFmtId="2" fontId="11" fillId="0" borderId="19" xfId="53" applyNumberFormat="1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Fill="1" applyBorder="1" applyAlignment="1">
      <alignment vertical="top" wrapText="1"/>
      <protection/>
    </xf>
    <xf numFmtId="0" fontId="8" fillId="0" borderId="21" xfId="53" applyFont="1" applyFill="1" applyBorder="1" applyAlignment="1">
      <alignment horizontal="center" vertical="top" wrapText="1"/>
      <protection/>
    </xf>
    <xf numFmtId="2" fontId="8" fillId="0" borderId="21" xfId="53" applyNumberFormat="1" applyFont="1" applyFill="1" applyBorder="1" applyAlignment="1">
      <alignment horizontal="center" vertical="top" wrapText="1"/>
      <protection/>
    </xf>
    <xf numFmtId="1" fontId="8" fillId="0" borderId="21" xfId="53" applyNumberFormat="1" applyFont="1" applyFill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/>
      <protection/>
    </xf>
    <xf numFmtId="2" fontId="12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vertical="top" wrapText="1"/>
      <protection/>
    </xf>
    <xf numFmtId="0" fontId="12" fillId="34" borderId="12" xfId="53" applyFont="1" applyFill="1" applyBorder="1" applyAlignment="1">
      <alignment vertical="top" wrapText="1"/>
      <protection/>
    </xf>
    <xf numFmtId="0" fontId="12" fillId="34" borderId="15" xfId="53" applyFont="1" applyFill="1" applyBorder="1" applyAlignment="1">
      <alignment vertical="top" wrapText="1"/>
      <protection/>
    </xf>
    <xf numFmtId="0" fontId="8" fillId="34" borderId="15" xfId="53" applyFont="1" applyFill="1" applyBorder="1" applyAlignment="1">
      <alignment horizontal="center" vertical="top" wrapText="1"/>
      <protection/>
    </xf>
    <xf numFmtId="2" fontId="8" fillId="34" borderId="15" xfId="53" applyNumberFormat="1" applyFont="1" applyFill="1" applyBorder="1" applyAlignment="1">
      <alignment horizontal="center" vertical="top" wrapText="1"/>
      <protection/>
    </xf>
    <xf numFmtId="1" fontId="8" fillId="34" borderId="15" xfId="53" applyNumberFormat="1" applyFont="1" applyFill="1" applyBorder="1" applyAlignment="1">
      <alignment horizontal="center" vertical="top" wrapText="1"/>
      <protection/>
    </xf>
    <xf numFmtId="2" fontId="8" fillId="34" borderId="16" xfId="53" applyNumberFormat="1" applyFont="1" applyFill="1" applyBorder="1" applyAlignment="1">
      <alignment horizontal="center" vertical="top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34" borderId="23" xfId="53" applyFont="1" applyFill="1" applyBorder="1" applyAlignment="1">
      <alignment vertical="top" wrapText="1"/>
      <protection/>
    </xf>
    <xf numFmtId="0" fontId="8" fillId="34" borderId="23" xfId="53" applyFont="1" applyFill="1" applyBorder="1" applyAlignment="1">
      <alignment horizontal="center" vertical="top" wrapText="1"/>
      <protection/>
    </xf>
    <xf numFmtId="2" fontId="8" fillId="34" borderId="23" xfId="53" applyNumberFormat="1" applyFont="1" applyFill="1" applyBorder="1" applyAlignment="1">
      <alignment horizontal="center" vertical="top" wrapText="1"/>
      <protection/>
    </xf>
    <xf numFmtId="1" fontId="8" fillId="34" borderId="23" xfId="53" applyNumberFormat="1" applyFont="1" applyFill="1" applyBorder="1" applyAlignment="1">
      <alignment horizontal="center" vertical="top" wrapText="1"/>
      <protection/>
    </xf>
    <xf numFmtId="2" fontId="8" fillId="34" borderId="24" xfId="53" applyNumberFormat="1" applyFont="1" applyFill="1" applyBorder="1" applyAlignment="1">
      <alignment horizontal="center" vertical="top" wrapText="1"/>
      <protection/>
    </xf>
    <xf numFmtId="0" fontId="12" fillId="34" borderId="25" xfId="53" applyFont="1" applyFill="1" applyBorder="1" applyAlignment="1">
      <alignment vertical="top" wrapText="1"/>
      <protection/>
    </xf>
    <xf numFmtId="0" fontId="12" fillId="34" borderId="26" xfId="53" applyFont="1" applyFill="1" applyBorder="1" applyAlignment="1">
      <alignment vertical="top" wrapText="1"/>
      <protection/>
    </xf>
    <xf numFmtId="0" fontId="8" fillId="34" borderId="26" xfId="53" applyFont="1" applyFill="1" applyBorder="1" applyAlignment="1">
      <alignment horizontal="center" vertical="top" wrapText="1"/>
      <protection/>
    </xf>
    <xf numFmtId="2" fontId="8" fillId="34" borderId="26" xfId="53" applyNumberFormat="1" applyFont="1" applyFill="1" applyBorder="1" applyAlignment="1">
      <alignment horizontal="center" vertical="top" wrapText="1"/>
      <protection/>
    </xf>
    <xf numFmtId="1" fontId="8" fillId="34" borderId="26" xfId="53" applyNumberFormat="1" applyFont="1" applyFill="1" applyBorder="1" applyAlignment="1">
      <alignment horizontal="center" vertical="top" wrapText="1"/>
      <protection/>
    </xf>
    <xf numFmtId="2" fontId="8" fillId="34" borderId="27" xfId="53" applyNumberFormat="1" applyFont="1" applyFill="1" applyBorder="1" applyAlignment="1">
      <alignment horizontal="center" vertical="top" wrapText="1"/>
      <protection/>
    </xf>
    <xf numFmtId="0" fontId="8" fillId="32" borderId="17" xfId="53" applyFont="1" applyFill="1" applyBorder="1" applyAlignment="1">
      <alignment vertical="top" wrapText="1"/>
      <protection/>
    </xf>
    <xf numFmtId="0" fontId="8" fillId="32" borderId="17" xfId="53" applyFont="1" applyFill="1" applyBorder="1" applyAlignment="1">
      <alignment horizontal="center" vertical="top" wrapText="1"/>
      <protection/>
    </xf>
    <xf numFmtId="2" fontId="8" fillId="32" borderId="17" xfId="53" applyNumberFormat="1" applyFont="1" applyFill="1" applyBorder="1" applyAlignment="1">
      <alignment horizontal="center" vertical="top" wrapText="1"/>
      <protection/>
    </xf>
    <xf numFmtId="1" fontId="8" fillId="32" borderId="17" xfId="53" applyNumberFormat="1" applyFont="1" applyFill="1" applyBorder="1" applyAlignment="1">
      <alignment horizontal="center" vertical="top" wrapText="1"/>
      <protection/>
    </xf>
    <xf numFmtId="2" fontId="12" fillId="0" borderId="19" xfId="53" applyNumberFormat="1" applyFont="1" applyBorder="1" applyAlignment="1">
      <alignment horizontal="center" vertical="top" wrapText="1"/>
      <protection/>
    </xf>
    <xf numFmtId="49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9" xfId="53" applyFont="1" applyFill="1" applyBorder="1" applyAlignment="1">
      <alignment vertical="top" wrapText="1"/>
      <protection/>
    </xf>
    <xf numFmtId="0" fontId="8" fillId="32" borderId="19" xfId="53" applyNumberFormat="1" applyFont="1" applyFill="1" applyBorder="1" applyAlignment="1">
      <alignment horizontal="center" vertical="top" wrapText="1"/>
      <protection/>
    </xf>
    <xf numFmtId="2" fontId="8" fillId="32" borderId="19" xfId="53" applyNumberFormat="1" applyFont="1" applyFill="1" applyBorder="1" applyAlignment="1">
      <alignment horizontal="center" vertical="top" wrapText="1"/>
      <protection/>
    </xf>
    <xf numFmtId="1" fontId="8" fillId="32" borderId="19" xfId="53" applyNumberFormat="1" applyFont="1" applyFill="1" applyBorder="1" applyAlignment="1">
      <alignment horizontal="center" vertical="top" wrapText="1"/>
      <protection/>
    </xf>
    <xf numFmtId="0" fontId="8" fillId="32" borderId="20" xfId="53" applyFont="1" applyFill="1" applyBorder="1" applyAlignment="1">
      <alignment vertical="top" wrapText="1"/>
      <protection/>
    </xf>
    <xf numFmtId="1" fontId="8" fillId="32" borderId="20" xfId="53" applyNumberFormat="1" applyFont="1" applyFill="1" applyBorder="1" applyAlignment="1">
      <alignment horizontal="center" vertical="top" wrapText="1"/>
      <protection/>
    </xf>
    <xf numFmtId="2" fontId="8" fillId="32" borderId="20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Fill="1" applyBorder="1" applyAlignment="1">
      <alignment horizontal="center" vertical="top" wrapText="1"/>
      <protection/>
    </xf>
    <xf numFmtId="2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Border="1" applyAlignment="1">
      <alignment vertical="top" wrapText="1"/>
      <protection/>
    </xf>
    <xf numFmtId="1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12" fillId="0" borderId="19" xfId="53" applyFont="1" applyBorder="1" applyAlignment="1">
      <alignment horizontal="left" vertical="center"/>
      <protection/>
    </xf>
    <xf numFmtId="0" fontId="8" fillId="0" borderId="19" xfId="53" applyFont="1" applyBorder="1" applyAlignment="1">
      <alignment horizontal="center" vertical="top" wrapText="1"/>
      <protection/>
    </xf>
    <xf numFmtId="0" fontId="22" fillId="0" borderId="18" xfId="0" applyFont="1" applyBorder="1" applyAlignment="1">
      <alignment/>
    </xf>
    <xf numFmtId="0" fontId="8" fillId="0" borderId="19" xfId="53" applyFont="1" applyBorder="1" applyAlignment="1">
      <alignment horizontal="right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vertical="top" wrapText="1"/>
      <protection/>
    </xf>
    <xf numFmtId="2" fontId="8" fillId="0" borderId="18" xfId="0" applyNumberFormat="1" applyFont="1" applyBorder="1" applyAlignment="1">
      <alignment horizontal="center" vertical="top" wrapText="1"/>
    </xf>
    <xf numFmtId="0" fontId="8" fillId="0" borderId="17" xfId="53" applyFont="1" applyFill="1" applyBorder="1" applyAlignment="1">
      <alignment vertical="top" wrapText="1"/>
      <protection/>
    </xf>
    <xf numFmtId="0" fontId="8" fillId="0" borderId="28" xfId="53" applyFont="1" applyBorder="1" applyAlignment="1">
      <alignment horizontal="center" vertical="top" wrapText="1"/>
      <protection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0" fontId="8" fillId="0" borderId="17" xfId="53" applyFont="1" applyBorder="1" applyAlignment="1">
      <alignment horizontal="center" vertical="top" wrapText="1"/>
      <protection/>
    </xf>
    <xf numFmtId="2" fontId="8" fillId="0" borderId="17" xfId="53" applyNumberFormat="1" applyFont="1" applyBorder="1" applyAlignment="1">
      <alignment horizontal="center" vertical="top" wrapText="1"/>
      <protection/>
    </xf>
    <xf numFmtId="1" fontId="8" fillId="0" borderId="17" xfId="53" applyNumberFormat="1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/>
      <protection/>
    </xf>
    <xf numFmtId="1" fontId="13" fillId="0" borderId="19" xfId="53" applyNumberFormat="1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 wrapText="1"/>
      <protection/>
    </xf>
    <xf numFmtId="0" fontId="21" fillId="0" borderId="17" xfId="53" applyFont="1" applyFill="1" applyBorder="1" applyAlignment="1">
      <alignment vertical="top" wrapText="1"/>
      <protection/>
    </xf>
    <xf numFmtId="0" fontId="1" fillId="0" borderId="0" xfId="54" applyFill="1">
      <alignment/>
      <protection/>
    </xf>
    <xf numFmtId="0" fontId="1" fillId="0" borderId="0" xfId="54" applyFont="1" applyFill="1">
      <alignment/>
      <protection/>
    </xf>
    <xf numFmtId="0" fontId="23" fillId="0" borderId="29" xfId="54" applyFont="1" applyFill="1" applyBorder="1" applyAlignment="1">
      <alignment vertical="center"/>
      <protection/>
    </xf>
    <xf numFmtId="0" fontId="23" fillId="0" borderId="29" xfId="54" applyFont="1" applyFill="1" applyBorder="1" applyAlignment="1">
      <alignment horizontal="center" vertical="center" wrapText="1"/>
      <protection/>
    </xf>
    <xf numFmtId="0" fontId="24" fillId="0" borderId="29" xfId="54" applyFont="1" applyFill="1" applyBorder="1" applyAlignment="1">
      <alignment wrapText="1"/>
      <protection/>
    </xf>
    <xf numFmtId="0" fontId="24" fillId="0" borderId="29" xfId="54" applyFont="1" applyFill="1" applyBorder="1" applyAlignment="1">
      <alignment horizontal="center"/>
      <protection/>
    </xf>
    <xf numFmtId="2" fontId="24" fillId="0" borderId="29" xfId="54" applyNumberFormat="1" applyFont="1" applyFill="1" applyBorder="1" applyAlignment="1">
      <alignment horizontal="center"/>
      <protection/>
    </xf>
    <xf numFmtId="0" fontId="1" fillId="34" borderId="0" xfId="54" applyFill="1">
      <alignment/>
      <protection/>
    </xf>
    <xf numFmtId="0" fontId="24" fillId="0" borderId="29" xfId="54" applyFont="1" applyFill="1" applyBorder="1">
      <alignment/>
      <protection/>
    </xf>
    <xf numFmtId="0" fontId="1" fillId="0" borderId="29" xfId="54" applyFont="1" applyBorder="1">
      <alignment/>
      <protection/>
    </xf>
    <xf numFmtId="0" fontId="1" fillId="0" borderId="29" xfId="54" applyFont="1" applyFill="1" applyBorder="1" applyAlignment="1">
      <alignment horizontal="center"/>
      <protection/>
    </xf>
    <xf numFmtId="0" fontId="1" fillId="0" borderId="0" xfId="54" applyFont="1">
      <alignment/>
      <protection/>
    </xf>
    <xf numFmtId="0" fontId="1" fillId="0" borderId="29" xfId="54" applyBorder="1">
      <alignment/>
      <protection/>
    </xf>
    <xf numFmtId="0" fontId="1" fillId="0" borderId="0" xfId="54">
      <alignment/>
      <protection/>
    </xf>
    <xf numFmtId="2" fontId="1" fillId="0" borderId="0" xfId="54" applyNumberFormat="1">
      <alignment/>
      <protection/>
    </xf>
    <xf numFmtId="2" fontId="1" fillId="0" borderId="29" xfId="54" applyNumberFormat="1" applyFont="1" applyFill="1" applyBorder="1" applyAlignment="1">
      <alignment horizontal="center"/>
      <protection/>
    </xf>
    <xf numFmtId="2" fontId="25" fillId="0" borderId="29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/>
      <protection/>
    </xf>
    <xf numFmtId="0" fontId="26" fillId="0" borderId="18" xfId="53" applyFont="1" applyFill="1" applyBorder="1" applyAlignment="1">
      <alignment vertical="top" wrapText="1"/>
      <protection/>
    </xf>
    <xf numFmtId="0" fontId="26" fillId="0" borderId="18" xfId="53" applyFont="1" applyBorder="1" applyAlignment="1">
      <alignment vertical="top" wrapText="1"/>
      <protection/>
    </xf>
    <xf numFmtId="0" fontId="27" fillId="0" borderId="18" xfId="53" applyFont="1" applyBorder="1" applyAlignment="1">
      <alignment vertical="top" wrapText="1"/>
      <protection/>
    </xf>
    <xf numFmtId="0" fontId="27" fillId="0" borderId="17" xfId="53" applyFont="1" applyBorder="1" applyAlignment="1">
      <alignment vertical="top" wrapText="1"/>
      <protection/>
    </xf>
    <xf numFmtId="0" fontId="16" fillId="0" borderId="17" xfId="53" applyFont="1" applyBorder="1" applyAlignment="1">
      <alignment vertical="top" wrapText="1"/>
      <protection/>
    </xf>
    <xf numFmtId="2" fontId="8" fillId="34" borderId="17" xfId="53" applyNumberFormat="1" applyFont="1" applyFill="1" applyBorder="1" applyAlignment="1">
      <alignment horizontal="center" vertical="top" wrapText="1"/>
      <protection/>
    </xf>
    <xf numFmtId="2" fontId="11" fillId="32" borderId="17" xfId="53" applyNumberFormat="1" applyFont="1" applyFill="1" applyBorder="1" applyAlignment="1">
      <alignment horizontal="center" vertical="top" wrapText="1"/>
      <protection/>
    </xf>
    <xf numFmtId="2" fontId="8" fillId="34" borderId="18" xfId="53" applyNumberFormat="1" applyFont="1" applyFill="1" applyBorder="1" applyAlignment="1">
      <alignment horizontal="center" vertical="top" wrapText="1"/>
      <protection/>
    </xf>
    <xf numFmtId="2" fontId="29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2" fontId="2" fillId="0" borderId="0" xfId="53" applyNumberFormat="1" applyFont="1">
      <alignment/>
      <protection/>
    </xf>
    <xf numFmtId="172" fontId="2" fillId="0" borderId="0" xfId="53" applyNumberFormat="1" applyFont="1">
      <alignment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10" fillId="0" borderId="30" xfId="53" applyFont="1" applyBorder="1">
      <alignment/>
      <protection/>
    </xf>
    <xf numFmtId="49" fontId="4" fillId="0" borderId="0" xfId="53" applyNumberFormat="1" applyFont="1">
      <alignment/>
      <protection/>
    </xf>
    <xf numFmtId="0" fontId="2" fillId="0" borderId="31" xfId="53" applyBorder="1">
      <alignment/>
      <protection/>
    </xf>
    <xf numFmtId="49" fontId="2" fillId="0" borderId="30" xfId="53" applyNumberFormat="1" applyBorder="1">
      <alignment/>
      <protection/>
    </xf>
    <xf numFmtId="1" fontId="2" fillId="0" borderId="30" xfId="53" applyNumberFormat="1" applyBorder="1">
      <alignment/>
      <protection/>
    </xf>
    <xf numFmtId="0" fontId="10" fillId="0" borderId="32" xfId="53" applyFont="1" applyBorder="1" applyAlignment="1">
      <alignment horizontal="left" vertical="center" wrapText="1"/>
      <protection/>
    </xf>
    <xf numFmtId="0" fontId="10" fillId="0" borderId="15" xfId="53" applyFont="1" applyBorder="1">
      <alignment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1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right" vertical="top" wrapText="1"/>
      <protection/>
    </xf>
    <xf numFmtId="0" fontId="13" fillId="0" borderId="20" xfId="53" applyFont="1" applyBorder="1" applyAlignment="1">
      <alignment horizontal="center" vertical="top" wrapText="1"/>
      <protection/>
    </xf>
    <xf numFmtId="2" fontId="14" fillId="0" borderId="16" xfId="53" applyNumberFormat="1" applyFont="1" applyBorder="1" applyAlignment="1">
      <alignment horizontal="center" vertical="top" wrapText="1"/>
      <protection/>
    </xf>
    <xf numFmtId="1" fontId="8" fillId="32" borderId="13" xfId="53" applyNumberFormat="1" applyFont="1" applyFill="1" applyBorder="1" applyAlignment="1">
      <alignment horizontal="center" vertical="top" wrapText="1"/>
      <protection/>
    </xf>
    <xf numFmtId="1" fontId="8" fillId="32" borderId="34" xfId="53" applyNumberFormat="1" applyFont="1" applyFill="1" applyBorder="1" applyAlignment="1">
      <alignment horizontal="center" vertical="top" wrapText="1"/>
      <protection/>
    </xf>
    <xf numFmtId="1" fontId="8" fillId="32" borderId="22" xfId="53" applyNumberFormat="1" applyFont="1" applyFill="1" applyBorder="1" applyAlignment="1">
      <alignment horizontal="center" vertical="top" wrapText="1"/>
      <protection/>
    </xf>
    <xf numFmtId="2" fontId="20" fillId="0" borderId="35" xfId="53" applyNumberFormat="1" applyFont="1" applyBorder="1" applyAlignment="1">
      <alignment horizontal="center" vertical="center" wrapText="1"/>
      <protection/>
    </xf>
    <xf numFmtId="2" fontId="10" fillId="0" borderId="12" xfId="53" applyNumberFormat="1" applyFont="1" applyBorder="1" applyAlignment="1">
      <alignment horizontal="center" vertical="top" wrapText="1"/>
      <protection/>
    </xf>
    <xf numFmtId="2" fontId="8" fillId="0" borderId="36" xfId="53" applyNumberFormat="1" applyFont="1" applyFill="1" applyBorder="1" applyAlignment="1">
      <alignment horizontal="center" vertical="top" wrapText="1"/>
      <protection/>
    </xf>
    <xf numFmtId="0" fontId="8" fillId="32" borderId="24" xfId="53" applyFont="1" applyFill="1" applyBorder="1" applyAlignment="1">
      <alignment horizontal="center" vertical="top" wrapText="1"/>
      <protection/>
    </xf>
    <xf numFmtId="2" fontId="8" fillId="32" borderId="24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Border="1" applyAlignment="1">
      <alignment horizontal="center" vertical="top" wrapText="1"/>
      <protection/>
    </xf>
    <xf numFmtId="2" fontId="10" fillId="0" borderId="16" xfId="53" applyNumberFormat="1" applyFont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 wrapText="1"/>
      <protection/>
    </xf>
    <xf numFmtId="2" fontId="12" fillId="0" borderId="25" xfId="53" applyNumberFormat="1" applyFont="1" applyBorder="1" applyAlignment="1">
      <alignment horizontal="center" vertical="top" wrapText="1"/>
      <protection/>
    </xf>
    <xf numFmtId="2" fontId="12" fillId="0" borderId="27" xfId="53" applyNumberFormat="1" applyFont="1" applyBorder="1" applyAlignment="1">
      <alignment horizontal="center" vertical="top" wrapText="1"/>
      <protection/>
    </xf>
    <xf numFmtId="2" fontId="20" fillId="0" borderId="16" xfId="53" applyNumberFormat="1" applyFont="1" applyBorder="1" applyAlignment="1">
      <alignment horizontal="center" vertical="center" wrapText="1"/>
      <protection/>
    </xf>
    <xf numFmtId="2" fontId="20" fillId="0" borderId="15" xfId="53" applyNumberFormat="1" applyFont="1" applyBorder="1" applyAlignment="1">
      <alignment horizontal="center" vertical="center" wrapText="1"/>
      <protection/>
    </xf>
    <xf numFmtId="2" fontId="10" fillId="0" borderId="16" xfId="53" applyNumberFormat="1" applyFont="1" applyBorder="1" applyAlignment="1">
      <alignment horizontal="center" vertical="center" wrapText="1"/>
      <protection/>
    </xf>
    <xf numFmtId="0" fontId="12" fillId="34" borderId="37" xfId="53" applyFont="1" applyFill="1" applyBorder="1" applyAlignment="1">
      <alignment vertical="top" wrapText="1"/>
      <protection/>
    </xf>
    <xf numFmtId="2" fontId="8" fillId="34" borderId="35" xfId="53" applyNumberFormat="1" applyFont="1" applyFill="1" applyBorder="1" applyAlignment="1">
      <alignment horizontal="center" vertical="top" wrapText="1"/>
      <protection/>
    </xf>
    <xf numFmtId="2" fontId="8" fillId="34" borderId="11" xfId="53" applyNumberFormat="1" applyFont="1" applyFill="1" applyBorder="1" applyAlignment="1">
      <alignment horizontal="center" vertical="top" wrapText="1"/>
      <protection/>
    </xf>
    <xf numFmtId="1" fontId="8" fillId="34" borderId="35" xfId="53" applyNumberFormat="1" applyFont="1" applyFill="1" applyBorder="1" applyAlignment="1">
      <alignment horizontal="center" vertical="top" wrapText="1"/>
      <protection/>
    </xf>
    <xf numFmtId="1" fontId="8" fillId="0" borderId="34" xfId="53" applyNumberFormat="1" applyFont="1" applyFill="1" applyBorder="1" applyAlignment="1">
      <alignment horizontal="center" vertical="top" wrapText="1"/>
      <protection/>
    </xf>
    <xf numFmtId="1" fontId="8" fillId="0" borderId="22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Fill="1" applyBorder="1" applyAlignment="1">
      <alignment horizontal="center" vertical="top" wrapText="1"/>
      <protection/>
    </xf>
    <xf numFmtId="2" fontId="11" fillId="0" borderId="38" xfId="53" applyNumberFormat="1" applyFont="1" applyBorder="1" applyAlignment="1">
      <alignment horizontal="center" vertical="top" wrapText="1"/>
      <protection/>
    </xf>
    <xf numFmtId="2" fontId="8" fillId="34" borderId="33" xfId="53" applyNumberFormat="1" applyFont="1" applyFill="1" applyBorder="1" applyAlignment="1">
      <alignment horizontal="center" vertical="top" wrapText="1"/>
      <protection/>
    </xf>
    <xf numFmtId="2" fontId="11" fillId="32" borderId="20" xfId="53" applyNumberFormat="1" applyFont="1" applyFill="1" applyBorder="1" applyAlignment="1">
      <alignment horizontal="center" vertical="top" wrapText="1"/>
      <protection/>
    </xf>
    <xf numFmtId="2" fontId="20" fillId="0" borderId="13" xfId="53" applyNumberFormat="1" applyFont="1" applyBorder="1" applyAlignment="1">
      <alignment horizontal="center" vertical="center" wrapText="1"/>
      <protection/>
    </xf>
    <xf numFmtId="2" fontId="14" fillId="0" borderId="14" xfId="53" applyNumberFormat="1" applyFont="1" applyBorder="1" applyAlignment="1">
      <alignment horizontal="center" vertical="top" wrapText="1"/>
      <protection/>
    </xf>
    <xf numFmtId="2" fontId="20" fillId="0" borderId="14" xfId="53" applyNumberFormat="1" applyFont="1" applyBorder="1" applyAlignment="1">
      <alignment horizontal="center" vertical="center" wrapText="1"/>
      <protection/>
    </xf>
    <xf numFmtId="2" fontId="8" fillId="34" borderId="39" xfId="53" applyNumberFormat="1" applyFont="1" applyFill="1" applyBorder="1" applyAlignment="1">
      <alignment horizontal="center" vertical="top" wrapText="1"/>
      <protection/>
    </xf>
    <xf numFmtId="2" fontId="11" fillId="32" borderId="18" xfId="53" applyNumberFormat="1" applyFont="1" applyFill="1" applyBorder="1" applyAlignment="1">
      <alignment horizontal="center" vertical="top" wrapText="1"/>
      <protection/>
    </xf>
    <xf numFmtId="0" fontId="8" fillId="32" borderId="34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/>
      <protection/>
    </xf>
    <xf numFmtId="0" fontId="12" fillId="0" borderId="25" xfId="53" applyFont="1" applyBorder="1" applyAlignment="1">
      <alignment vertical="center"/>
      <protection/>
    </xf>
    <xf numFmtId="0" fontId="12" fillId="34" borderId="35" xfId="53" applyFont="1" applyFill="1" applyBorder="1" applyAlignment="1">
      <alignment vertical="top" wrapText="1"/>
      <protection/>
    </xf>
    <xf numFmtId="0" fontId="8" fillId="0" borderId="34" xfId="53" applyFont="1" applyFill="1" applyBorder="1" applyAlignment="1">
      <alignment vertical="top" wrapText="1"/>
      <protection/>
    </xf>
    <xf numFmtId="0" fontId="8" fillId="0" borderId="22" xfId="53" applyFont="1" applyFill="1" applyBorder="1" applyAlignment="1">
      <alignment vertical="top" wrapText="1"/>
      <protection/>
    </xf>
    <xf numFmtId="0" fontId="8" fillId="0" borderId="22" xfId="53" applyFont="1" applyBorder="1" applyAlignment="1">
      <alignment vertical="top" wrapText="1"/>
      <protection/>
    </xf>
    <xf numFmtId="0" fontId="12" fillId="0" borderId="40" xfId="53" applyFont="1" applyBorder="1" applyAlignment="1">
      <alignment vertical="center"/>
      <protection/>
    </xf>
    <xf numFmtId="0" fontId="11" fillId="0" borderId="37" xfId="53" applyFont="1" applyBorder="1" applyAlignment="1">
      <alignment vertical="top" wrapText="1"/>
      <protection/>
    </xf>
    <xf numFmtId="2" fontId="8" fillId="32" borderId="36" xfId="53" applyNumberFormat="1" applyFont="1" applyFill="1" applyBorder="1" applyAlignment="1">
      <alignment horizontal="center" vertical="top" wrapText="1"/>
      <protection/>
    </xf>
    <xf numFmtId="0" fontId="8" fillId="34" borderId="13" xfId="53" applyFont="1" applyFill="1" applyBorder="1" applyAlignment="1">
      <alignment horizontal="center" vertical="top" wrapText="1"/>
      <protection/>
    </xf>
    <xf numFmtId="0" fontId="8" fillId="34" borderId="14" xfId="53" applyFont="1" applyFill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49" fontId="2" fillId="0" borderId="33" xfId="53" applyNumberFormat="1" applyBorder="1">
      <alignment/>
      <protection/>
    </xf>
    <xf numFmtId="2" fontId="11" fillId="0" borderId="33" xfId="53" applyNumberFormat="1" applyFont="1" applyBorder="1" applyAlignment="1">
      <alignment horizontal="center"/>
      <protection/>
    </xf>
    <xf numFmtId="2" fontId="11" fillId="0" borderId="10" xfId="53" applyNumberFormat="1" applyFont="1" applyBorder="1" applyAlignment="1">
      <alignment horizontal="center"/>
      <protection/>
    </xf>
    <xf numFmtId="2" fontId="11" fillId="0" borderId="30" xfId="53" applyNumberFormat="1" applyFont="1" applyBorder="1" applyAlignment="1">
      <alignment horizontal="center"/>
      <protection/>
    </xf>
    <xf numFmtId="2" fontId="9" fillId="0" borderId="18" xfId="53" applyNumberFormat="1" applyFont="1" applyFill="1" applyBorder="1" applyAlignment="1">
      <alignment horizontal="center" vertical="top" wrapText="1"/>
      <protection/>
    </xf>
    <xf numFmtId="0" fontId="9" fillId="32" borderId="18" xfId="53" applyFont="1" applyFill="1" applyBorder="1" applyAlignment="1">
      <alignment vertical="top" wrapText="1"/>
      <protection/>
    </xf>
    <xf numFmtId="0" fontId="9" fillId="0" borderId="18" xfId="53" applyFont="1" applyBorder="1" applyAlignment="1">
      <alignment vertical="top" wrapText="1"/>
      <protection/>
    </xf>
    <xf numFmtId="0" fontId="14" fillId="0" borderId="13" xfId="53" applyFont="1" applyBorder="1" applyAlignment="1">
      <alignment vertical="center"/>
      <protection/>
    </xf>
    <xf numFmtId="0" fontId="9" fillId="32" borderId="22" xfId="53" applyFont="1" applyFill="1" applyBorder="1" applyAlignment="1">
      <alignment vertical="top" wrapText="1"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2" fontId="31" fillId="0" borderId="0" xfId="53" applyNumberFormat="1" applyFont="1">
      <alignment/>
      <protection/>
    </xf>
    <xf numFmtId="2" fontId="30" fillId="0" borderId="0" xfId="53" applyNumberFormat="1" applyFont="1">
      <alignment/>
      <protection/>
    </xf>
    <xf numFmtId="0" fontId="14" fillId="34" borderId="12" xfId="53" applyFont="1" applyFill="1" applyBorder="1" applyAlignment="1">
      <alignment vertical="top" wrapText="1"/>
      <protection/>
    </xf>
    <xf numFmtId="0" fontId="14" fillId="34" borderId="15" xfId="53" applyFont="1" applyFill="1" applyBorder="1" applyAlignment="1">
      <alignment vertical="top" wrapText="1"/>
      <protection/>
    </xf>
    <xf numFmtId="0" fontId="9" fillId="34" borderId="15" xfId="53" applyFont="1" applyFill="1" applyBorder="1" applyAlignment="1">
      <alignment horizontal="center" vertical="top" wrapText="1"/>
      <protection/>
    </xf>
    <xf numFmtId="2" fontId="9" fillId="34" borderId="15" xfId="53" applyNumberFormat="1" applyFont="1" applyFill="1" applyBorder="1" applyAlignment="1">
      <alignment horizontal="center" vertical="top" wrapText="1"/>
      <protection/>
    </xf>
    <xf numFmtId="2" fontId="9" fillId="34" borderId="16" xfId="53" applyNumberFormat="1" applyFont="1" applyFill="1" applyBorder="1" applyAlignment="1">
      <alignment horizontal="center" vertical="top" wrapText="1"/>
      <protection/>
    </xf>
    <xf numFmtId="0" fontId="9" fillId="0" borderId="20" xfId="53" applyFont="1" applyBorder="1" applyAlignment="1">
      <alignment vertical="top" wrapText="1"/>
      <protection/>
    </xf>
    <xf numFmtId="0" fontId="9" fillId="32" borderId="0" xfId="53" applyFont="1" applyFill="1" applyBorder="1" applyAlignment="1">
      <alignment vertical="top" wrapText="1"/>
      <protection/>
    </xf>
    <xf numFmtId="2" fontId="9" fillId="32" borderId="0" xfId="53" applyNumberFormat="1" applyFont="1" applyFill="1" applyBorder="1" applyAlignment="1">
      <alignment horizontal="center" vertical="top" wrapText="1"/>
      <protection/>
    </xf>
    <xf numFmtId="0" fontId="30" fillId="0" borderId="0" xfId="53" applyFont="1" applyBorder="1">
      <alignment/>
      <protection/>
    </xf>
    <xf numFmtId="0" fontId="9" fillId="32" borderId="20" xfId="53" applyFont="1" applyFill="1" applyBorder="1" applyAlignment="1">
      <alignment vertical="top" wrapText="1"/>
      <protection/>
    </xf>
    <xf numFmtId="0" fontId="10" fillId="0" borderId="0" xfId="53" applyFont="1" applyBorder="1" applyAlignment="1">
      <alignment horizontal="left" vertical="center" wrapText="1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0" fontId="9" fillId="32" borderId="19" xfId="53" applyFont="1" applyFill="1" applyBorder="1" applyAlignment="1">
      <alignment vertical="top" wrapText="1"/>
      <protection/>
    </xf>
    <xf numFmtId="0" fontId="9" fillId="0" borderId="25" xfId="53" applyFont="1" applyBorder="1" applyAlignment="1">
      <alignment vertical="top" wrapText="1"/>
      <protection/>
    </xf>
    <xf numFmtId="49" fontId="30" fillId="0" borderId="0" xfId="53" applyNumberFormat="1" applyFont="1">
      <alignment/>
      <protection/>
    </xf>
    <xf numFmtId="2" fontId="9" fillId="0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Border="1" applyAlignment="1">
      <alignment vertical="top" wrapText="1"/>
      <protection/>
    </xf>
    <xf numFmtId="0" fontId="14" fillId="0" borderId="0" xfId="53" applyFont="1" applyBorder="1" applyAlignment="1">
      <alignment vertical="center"/>
      <protection/>
    </xf>
    <xf numFmtId="0" fontId="14" fillId="0" borderId="14" xfId="53" applyFont="1" applyBorder="1" applyAlignment="1">
      <alignment vertical="center"/>
      <protection/>
    </xf>
    <xf numFmtId="0" fontId="9" fillId="32" borderId="14" xfId="53" applyFont="1" applyFill="1" applyBorder="1" applyAlignment="1">
      <alignment vertical="top" wrapText="1"/>
      <protection/>
    </xf>
    <xf numFmtId="0" fontId="9" fillId="32" borderId="36" xfId="53" applyFont="1" applyFill="1" applyBorder="1" applyAlignment="1">
      <alignment vertical="top" wrapText="1"/>
      <protection/>
    </xf>
    <xf numFmtId="0" fontId="9" fillId="32" borderId="41" xfId="53" applyFont="1" applyFill="1" applyBorder="1" applyAlignment="1">
      <alignment vertical="top" wrapText="1"/>
      <protection/>
    </xf>
    <xf numFmtId="0" fontId="9" fillId="32" borderId="13" xfId="53" applyFont="1" applyFill="1" applyBorder="1" applyAlignment="1">
      <alignment vertical="top" wrapText="1"/>
      <protection/>
    </xf>
    <xf numFmtId="0" fontId="14" fillId="32" borderId="15" xfId="53" applyFont="1" applyFill="1" applyBorder="1" applyAlignment="1">
      <alignment vertical="top" wrapText="1"/>
      <protection/>
    </xf>
    <xf numFmtId="2" fontId="9" fillId="34" borderId="0" xfId="53" applyNumberFormat="1" applyFont="1" applyFill="1" applyBorder="1" applyAlignment="1">
      <alignment horizontal="center" vertical="top" wrapText="1"/>
      <protection/>
    </xf>
    <xf numFmtId="0" fontId="9" fillId="32" borderId="42" xfId="53" applyFont="1" applyFill="1" applyBorder="1" applyAlignment="1">
      <alignment vertical="top" wrapText="1"/>
      <protection/>
    </xf>
    <xf numFmtId="0" fontId="10" fillId="0" borderId="0" xfId="53" applyFont="1" applyAlignment="1">
      <alignment horizontal="left"/>
      <protection/>
    </xf>
    <xf numFmtId="0" fontId="14" fillId="32" borderId="0" xfId="53" applyFont="1" applyFill="1" applyBorder="1" applyAlignment="1">
      <alignment vertical="top" wrapText="1"/>
      <protection/>
    </xf>
    <xf numFmtId="2" fontId="14" fillId="32" borderId="0" xfId="53" applyNumberFormat="1" applyFont="1" applyFill="1" applyBorder="1" applyAlignment="1">
      <alignment horizontal="center" vertical="top" wrapText="1"/>
      <protection/>
    </xf>
    <xf numFmtId="0" fontId="14" fillId="0" borderId="26" xfId="53" applyFont="1" applyBorder="1" applyAlignment="1">
      <alignment vertical="center"/>
      <protection/>
    </xf>
    <xf numFmtId="0" fontId="9" fillId="0" borderId="13" xfId="53" applyFont="1" applyBorder="1" applyAlignment="1">
      <alignment vertical="top" wrapText="1"/>
      <protection/>
    </xf>
    <xf numFmtId="0" fontId="14" fillId="0" borderId="15" xfId="53" applyFont="1" applyBorder="1" applyAlignment="1">
      <alignment vertical="center"/>
      <protection/>
    </xf>
    <xf numFmtId="2" fontId="12" fillId="0" borderId="13" xfId="53" applyNumberFormat="1" applyFont="1" applyBorder="1" applyAlignment="1">
      <alignment horizontal="center" vertical="top" wrapText="1"/>
      <protection/>
    </xf>
    <xf numFmtId="2" fontId="12" fillId="0" borderId="19" xfId="53" applyNumberFormat="1" applyFont="1" applyFill="1" applyBorder="1" applyAlignment="1">
      <alignment horizontal="center" vertical="top" wrapText="1"/>
      <protection/>
    </xf>
    <xf numFmtId="172" fontId="12" fillId="0" borderId="19" xfId="53" applyNumberFormat="1" applyFont="1" applyFill="1" applyBorder="1" applyAlignment="1">
      <alignment horizontal="center" vertical="top" wrapText="1"/>
      <protection/>
    </xf>
    <xf numFmtId="172" fontId="12" fillId="0" borderId="19" xfId="53" applyNumberFormat="1" applyFont="1" applyBorder="1" applyAlignment="1">
      <alignment horizontal="center" vertical="top" wrapText="1"/>
      <protection/>
    </xf>
    <xf numFmtId="172" fontId="12" fillId="0" borderId="13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left" vertical="top" wrapText="1"/>
      <protection/>
    </xf>
    <xf numFmtId="0" fontId="8" fillId="32" borderId="21" xfId="53" applyFont="1" applyFill="1" applyBorder="1" applyAlignment="1">
      <alignment vertical="top" wrapText="1"/>
      <protection/>
    </xf>
    <xf numFmtId="0" fontId="9" fillId="32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Border="1" applyAlignment="1">
      <alignment horizontal="center" vertical="top" wrapText="1"/>
      <protection/>
    </xf>
    <xf numFmtId="0" fontId="9" fillId="0" borderId="42" xfId="53" applyFont="1" applyBorder="1" applyAlignment="1">
      <alignment vertical="top" wrapText="1"/>
      <protection/>
    </xf>
    <xf numFmtId="0" fontId="8" fillId="32" borderId="21" xfId="53" applyFont="1" applyFill="1" applyBorder="1" applyAlignment="1">
      <alignment horizontal="center" vertical="top" wrapText="1"/>
      <protection/>
    </xf>
    <xf numFmtId="0" fontId="9" fillId="32" borderId="24" xfId="53" applyFont="1" applyFill="1" applyBorder="1" applyAlignment="1">
      <alignment vertical="top" wrapText="1"/>
      <protection/>
    </xf>
    <xf numFmtId="0" fontId="9" fillId="32" borderId="27" xfId="53" applyFont="1" applyFill="1" applyBorder="1" applyAlignment="1">
      <alignment vertical="top" wrapText="1"/>
      <protection/>
    </xf>
    <xf numFmtId="0" fontId="14" fillId="0" borderId="38" xfId="53" applyFont="1" applyBorder="1" applyAlignment="1">
      <alignment vertical="center"/>
      <protection/>
    </xf>
    <xf numFmtId="0" fontId="12" fillId="32" borderId="13" xfId="53" applyNumberFormat="1" applyFont="1" applyFill="1" applyBorder="1" applyAlignment="1">
      <alignment horizontal="center" vertical="top" wrapText="1"/>
      <protection/>
    </xf>
    <xf numFmtId="0" fontId="8" fillId="32" borderId="36" xfId="53" applyFont="1" applyFill="1" applyBorder="1" applyAlignment="1">
      <alignment vertical="top" wrapText="1"/>
      <protection/>
    </xf>
    <xf numFmtId="1" fontId="12" fillId="32" borderId="13" xfId="53" applyNumberFormat="1" applyFont="1" applyFill="1" applyBorder="1" applyAlignment="1">
      <alignment horizontal="center" vertical="top" wrapText="1"/>
      <protection/>
    </xf>
    <xf numFmtId="172" fontId="12" fillId="32" borderId="16" xfId="53" applyNumberFormat="1" applyFont="1" applyFill="1" applyBorder="1" applyAlignment="1">
      <alignment horizontal="center" vertical="top" wrapText="1"/>
      <protection/>
    </xf>
    <xf numFmtId="0" fontId="16" fillId="32" borderId="14" xfId="53" applyFont="1" applyFill="1" applyBorder="1" applyAlignment="1">
      <alignment vertical="top" wrapText="1"/>
      <protection/>
    </xf>
    <xf numFmtId="0" fontId="29" fillId="0" borderId="18" xfId="53" applyFont="1" applyBorder="1" applyAlignment="1">
      <alignment horizontal="center" vertical="top" wrapText="1"/>
      <protection/>
    </xf>
    <xf numFmtId="0" fontId="16" fillId="32" borderId="18" xfId="53" applyFont="1" applyFill="1" applyBorder="1" applyAlignment="1">
      <alignment vertical="top" wrapText="1"/>
      <protection/>
    </xf>
    <xf numFmtId="0" fontId="33" fillId="32" borderId="18" xfId="53" applyFont="1" applyFill="1" applyBorder="1" applyAlignment="1">
      <alignment vertical="top" wrapText="1"/>
      <protection/>
    </xf>
    <xf numFmtId="0" fontId="34" fillId="0" borderId="13" xfId="53" applyFont="1" applyBorder="1" applyAlignment="1">
      <alignment vertical="center"/>
      <protection/>
    </xf>
    <xf numFmtId="2" fontId="32" fillId="0" borderId="13" xfId="53" applyNumberFormat="1" applyFont="1" applyBorder="1" applyAlignment="1">
      <alignment horizontal="center" vertical="top" wrapText="1"/>
      <protection/>
    </xf>
    <xf numFmtId="2" fontId="8" fillId="0" borderId="20" xfId="53" applyNumberFormat="1" applyFont="1" applyFill="1" applyBorder="1" applyAlignment="1">
      <alignment horizontal="center" vertical="top" wrapText="1"/>
      <protection/>
    </xf>
    <xf numFmtId="1" fontId="8" fillId="32" borderId="39" xfId="53" applyNumberFormat="1" applyFont="1" applyFill="1" applyBorder="1" applyAlignment="1">
      <alignment horizontal="center" vertical="top" wrapText="1"/>
      <protection/>
    </xf>
    <xf numFmtId="2" fontId="8" fillId="32" borderId="39" xfId="53" applyNumberFormat="1" applyFont="1" applyFill="1" applyBorder="1" applyAlignment="1">
      <alignment horizontal="center" vertical="top" wrapText="1"/>
      <protection/>
    </xf>
    <xf numFmtId="2" fontId="8" fillId="0" borderId="39" xfId="53" applyNumberFormat="1" applyFont="1" applyFill="1" applyBorder="1" applyAlignment="1">
      <alignment horizontal="center" vertical="top" wrapText="1"/>
      <protection/>
    </xf>
    <xf numFmtId="172" fontId="8" fillId="0" borderId="39" xfId="53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2" fontId="8" fillId="32" borderId="0" xfId="53" applyNumberFormat="1" applyFont="1" applyFill="1" applyBorder="1" applyAlignment="1">
      <alignment horizontal="center" vertical="top" wrapText="1"/>
      <protection/>
    </xf>
    <xf numFmtId="172" fontId="12" fillId="0" borderId="0" xfId="53" applyNumberFormat="1" applyFont="1" applyBorder="1" applyAlignment="1">
      <alignment horizontal="center" vertical="top" wrapText="1"/>
      <protection/>
    </xf>
    <xf numFmtId="172" fontId="14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center" wrapText="1"/>
      <protection/>
    </xf>
    <xf numFmtId="172" fontId="8" fillId="32" borderId="18" xfId="53" applyNumberFormat="1" applyFont="1" applyFill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center" vertical="top"/>
      <protection/>
    </xf>
    <xf numFmtId="2" fontId="11" fillId="0" borderId="21" xfId="53" applyNumberFormat="1" applyFont="1" applyBorder="1" applyAlignment="1">
      <alignment horizontal="center" vertical="top" wrapText="1"/>
      <protection/>
    </xf>
    <xf numFmtId="2" fontId="11" fillId="0" borderId="39" xfId="53" applyNumberFormat="1" applyFont="1" applyBorder="1" applyAlignment="1">
      <alignment horizontal="center" vertical="top" wrapText="1"/>
      <protection/>
    </xf>
    <xf numFmtId="2" fontId="29" fillId="0" borderId="18" xfId="53" applyNumberFormat="1" applyFont="1" applyBorder="1" applyAlignment="1">
      <alignment horizontal="center" vertical="top" wrapText="1"/>
      <protection/>
    </xf>
    <xf numFmtId="1" fontId="12" fillId="0" borderId="13" xfId="53" applyNumberFormat="1" applyFont="1" applyBorder="1" applyAlignment="1">
      <alignment horizontal="center" vertical="top" wrapText="1"/>
      <protection/>
    </xf>
    <xf numFmtId="2" fontId="8" fillId="0" borderId="21" xfId="53" applyNumberFormat="1" applyFont="1" applyBorder="1" applyAlignment="1">
      <alignment horizontal="center" vertical="top" wrapText="1"/>
      <protection/>
    </xf>
    <xf numFmtId="0" fontId="8" fillId="32" borderId="20" xfId="53" applyNumberFormat="1" applyFont="1" applyFill="1" applyBorder="1" applyAlignment="1">
      <alignment horizontal="center" vertical="top" wrapText="1"/>
      <protection/>
    </xf>
    <xf numFmtId="172" fontId="8" fillId="0" borderId="18" xfId="53" applyNumberFormat="1" applyFont="1" applyFill="1" applyBorder="1" applyAlignment="1">
      <alignment horizontal="center" vertical="top" wrapText="1"/>
      <protection/>
    </xf>
    <xf numFmtId="1" fontId="8" fillId="32" borderId="14" xfId="53" applyNumberFormat="1" applyFont="1" applyFill="1" applyBorder="1" applyAlignment="1">
      <alignment horizontal="center" vertical="top" wrapText="1"/>
      <protection/>
    </xf>
    <xf numFmtId="2" fontId="8" fillId="32" borderId="14" xfId="53" applyNumberFormat="1" applyFont="1" applyFill="1" applyBorder="1" applyAlignment="1">
      <alignment horizontal="center" vertical="top" wrapText="1"/>
      <protection/>
    </xf>
    <xf numFmtId="2" fontId="8" fillId="0" borderId="14" xfId="53" applyNumberFormat="1" applyFont="1" applyFill="1" applyBorder="1" applyAlignment="1">
      <alignment horizontal="center" vertical="top" wrapText="1"/>
      <protection/>
    </xf>
    <xf numFmtId="172" fontId="8" fillId="0" borderId="14" xfId="53" applyNumberFormat="1" applyFont="1" applyFill="1" applyBorder="1" applyAlignment="1">
      <alignment horizontal="center" vertical="top" wrapText="1"/>
      <protection/>
    </xf>
    <xf numFmtId="2" fontId="16" fillId="0" borderId="14" xfId="53" applyNumberFormat="1" applyFont="1" applyFill="1" applyBorder="1" applyAlignment="1">
      <alignment horizontal="center" vertical="top" wrapText="1"/>
      <protection/>
    </xf>
    <xf numFmtId="176" fontId="33" fillId="0" borderId="18" xfId="53" applyNumberFormat="1" applyFont="1" applyFill="1" applyBorder="1" applyAlignment="1">
      <alignment horizontal="center" vertical="top" wrapText="1"/>
      <protection/>
    </xf>
    <xf numFmtId="2" fontId="8" fillId="0" borderId="20" xfId="53" applyNumberFormat="1" applyFont="1" applyBorder="1" applyAlignment="1">
      <alignment horizontal="center" vertical="top" wrapText="1"/>
      <protection/>
    </xf>
    <xf numFmtId="0" fontId="33" fillId="0" borderId="18" xfId="53" applyFont="1" applyBorder="1" applyAlignment="1">
      <alignment vertical="top" wrapText="1"/>
      <protection/>
    </xf>
    <xf numFmtId="0" fontId="33" fillId="32" borderId="21" xfId="53" applyFont="1" applyFill="1" applyBorder="1" applyAlignment="1">
      <alignment vertical="top" wrapText="1"/>
      <protection/>
    </xf>
    <xf numFmtId="0" fontId="35" fillId="0" borderId="13" xfId="53" applyFont="1" applyBorder="1" applyAlignment="1">
      <alignment horizontal="center" vertical="center"/>
      <protection/>
    </xf>
    <xf numFmtId="2" fontId="8" fillId="32" borderId="21" xfId="53" applyNumberFormat="1" applyFont="1" applyFill="1" applyBorder="1" applyAlignment="1">
      <alignment horizontal="center" vertical="top" wrapText="1"/>
      <protection/>
    </xf>
    <xf numFmtId="172" fontId="8" fillId="0" borderId="21" xfId="53" applyNumberFormat="1" applyFont="1" applyFill="1" applyBorder="1" applyAlignment="1">
      <alignment horizontal="center" vertical="top" wrapText="1"/>
      <protection/>
    </xf>
    <xf numFmtId="0" fontId="8" fillId="32" borderId="39" xfId="53" applyNumberFormat="1" applyFont="1" applyFill="1" applyBorder="1" applyAlignment="1">
      <alignment horizontal="center" vertical="top" wrapText="1"/>
      <protection/>
    </xf>
    <xf numFmtId="172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21" xfId="53" applyNumberFormat="1" applyFont="1" applyBorder="1" applyAlignment="1">
      <alignment horizontal="center" vertical="top" wrapText="1"/>
      <protection/>
    </xf>
    <xf numFmtId="172" fontId="8" fillId="0" borderId="20" xfId="53" applyNumberFormat="1" applyFont="1" applyFill="1" applyBorder="1" applyAlignment="1">
      <alignment horizontal="center" vertical="top" wrapText="1"/>
      <protection/>
    </xf>
    <xf numFmtId="0" fontId="16" fillId="0" borderId="13" xfId="53" applyFont="1" applyBorder="1" applyAlignment="1">
      <alignment vertical="top" wrapText="1"/>
      <protection/>
    </xf>
    <xf numFmtId="0" fontId="16" fillId="32" borderId="21" xfId="53" applyFont="1" applyFill="1" applyBorder="1" applyAlignment="1">
      <alignment vertical="top" wrapText="1"/>
      <protection/>
    </xf>
    <xf numFmtId="1" fontId="11" fillId="0" borderId="13" xfId="53" applyNumberFormat="1" applyFont="1" applyBorder="1" applyAlignment="1">
      <alignment horizontal="center" vertical="top" wrapText="1"/>
      <protection/>
    </xf>
    <xf numFmtId="172" fontId="12" fillId="32" borderId="13" xfId="53" applyNumberFormat="1" applyFont="1" applyFill="1" applyBorder="1" applyAlignment="1">
      <alignment horizontal="center" vertical="top" wrapText="1"/>
      <protection/>
    </xf>
    <xf numFmtId="2" fontId="8" fillId="0" borderId="23" xfId="53" applyNumberFormat="1" applyFont="1" applyFill="1" applyBorder="1" applyAlignment="1">
      <alignment horizontal="center" vertical="top" wrapText="1"/>
      <protection/>
    </xf>
    <xf numFmtId="172" fontId="8" fillId="32" borderId="13" xfId="53" applyNumberFormat="1" applyFont="1" applyFill="1" applyBorder="1" applyAlignment="1">
      <alignment horizontal="center" vertical="top" wrapText="1"/>
      <protection/>
    </xf>
    <xf numFmtId="2" fontId="12" fillId="32" borderId="13" xfId="53" applyNumberFormat="1" applyFont="1" applyFill="1" applyBorder="1" applyAlignment="1">
      <alignment horizontal="center" vertical="top" wrapText="1"/>
      <protection/>
    </xf>
    <xf numFmtId="0" fontId="11" fillId="0" borderId="12" xfId="53" applyFont="1" applyBorder="1" applyAlignment="1">
      <alignment vertical="center"/>
      <protection/>
    </xf>
    <xf numFmtId="1" fontId="11" fillId="0" borderId="13" xfId="53" applyNumberFormat="1" applyFont="1" applyBorder="1" applyAlignment="1">
      <alignment vertical="center"/>
      <protection/>
    </xf>
    <xf numFmtId="172" fontId="11" fillId="0" borderId="13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left" vertical="center"/>
      <protection/>
    </xf>
    <xf numFmtId="0" fontId="11" fillId="0" borderId="13" xfId="53" applyFont="1" applyBorder="1" applyAlignment="1">
      <alignment horizontal="justify" vertical="center"/>
      <protection/>
    </xf>
    <xf numFmtId="2" fontId="11" fillId="0" borderId="13" xfId="53" applyNumberFormat="1" applyFont="1" applyBorder="1" applyAlignment="1">
      <alignment horizontal="justify" vertical="center"/>
      <protection/>
    </xf>
    <xf numFmtId="0" fontId="16" fillId="0" borderId="39" xfId="53" applyFont="1" applyBorder="1" applyAlignment="1">
      <alignment vertical="top" wrapText="1"/>
      <protection/>
    </xf>
    <xf numFmtId="0" fontId="34" fillId="0" borderId="0" xfId="53" applyFont="1" applyBorder="1" applyAlignment="1">
      <alignment vertical="center"/>
      <protection/>
    </xf>
    <xf numFmtId="0" fontId="12" fillId="0" borderId="0" xfId="53" applyFont="1" applyBorder="1" applyAlignment="1">
      <alignment horizontal="center" vertical="top"/>
      <protection/>
    </xf>
    <xf numFmtId="0" fontId="12" fillId="0" borderId="0" xfId="53" applyFont="1" applyBorder="1" applyAlignment="1">
      <alignment vertical="center"/>
      <protection/>
    </xf>
    <xf numFmtId="17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43" xfId="53" applyNumberFormat="1" applyFont="1" applyFill="1" applyBorder="1" applyAlignment="1">
      <alignment horizontal="center" vertical="top" wrapText="1"/>
      <protection/>
    </xf>
    <xf numFmtId="0" fontId="12" fillId="32" borderId="0" xfId="53" applyNumberFormat="1" applyFont="1" applyFill="1" applyBorder="1" applyAlignment="1">
      <alignment horizontal="center" vertical="top" wrapText="1"/>
      <protection/>
    </xf>
    <xf numFmtId="2" fontId="8" fillId="35" borderId="21" xfId="53" applyNumberFormat="1" applyFont="1" applyFill="1" applyBorder="1" applyAlignment="1">
      <alignment horizontal="center" vertical="top" wrapText="1"/>
      <protection/>
    </xf>
    <xf numFmtId="0" fontId="35" fillId="0" borderId="0" xfId="53" applyFont="1" applyBorder="1" applyAlignment="1">
      <alignment horizontal="center" vertical="center"/>
      <protection/>
    </xf>
    <xf numFmtId="0" fontId="16" fillId="32" borderId="20" xfId="53" applyFont="1" applyFill="1" applyBorder="1" applyAlignment="1">
      <alignment vertical="top" wrapText="1"/>
      <protection/>
    </xf>
    <xf numFmtId="2" fontId="35" fillId="0" borderId="13" xfId="53" applyNumberFormat="1" applyFont="1" applyBorder="1" applyAlignment="1">
      <alignment horizontal="center" vertical="center"/>
      <protection/>
    </xf>
    <xf numFmtId="172" fontId="35" fillId="0" borderId="13" xfId="53" applyNumberFormat="1" applyFont="1" applyBorder="1" applyAlignment="1">
      <alignment horizontal="center" vertical="center"/>
      <protection/>
    </xf>
    <xf numFmtId="1" fontId="12" fillId="32" borderId="0" xfId="53" applyNumberFormat="1" applyFont="1" applyFill="1" applyBorder="1" applyAlignment="1">
      <alignment horizontal="center" vertical="top" wrapText="1"/>
      <protection/>
    </xf>
    <xf numFmtId="172" fontId="12" fillId="32" borderId="0" xfId="53" applyNumberFormat="1" applyFont="1" applyFill="1" applyBorder="1" applyAlignment="1">
      <alignment horizontal="center" vertical="top" wrapText="1"/>
      <protection/>
    </xf>
    <xf numFmtId="0" fontId="16" fillId="0" borderId="0" xfId="53" applyFont="1" applyBorder="1" applyAlignment="1">
      <alignment vertical="top" wrapText="1"/>
      <protection/>
    </xf>
    <xf numFmtId="2" fontId="32" fillId="0" borderId="0" xfId="53" applyNumberFormat="1" applyFont="1" applyBorder="1" applyAlignment="1">
      <alignment horizontal="center" vertical="top" wrapText="1"/>
      <protection/>
    </xf>
    <xf numFmtId="172" fontId="8" fillId="32" borderId="0" xfId="53" applyNumberFormat="1" applyFont="1" applyFill="1" applyBorder="1" applyAlignment="1">
      <alignment horizontal="center" vertical="top" wrapText="1"/>
      <protection/>
    </xf>
    <xf numFmtId="1" fontId="8" fillId="32" borderId="0" xfId="53" applyNumberFormat="1" applyFont="1" applyFill="1" applyBorder="1" applyAlignment="1">
      <alignment horizontal="center" vertical="top" wrapText="1"/>
      <protection/>
    </xf>
    <xf numFmtId="0" fontId="11" fillId="0" borderId="0" xfId="53" applyFont="1" applyBorder="1" applyAlignment="1">
      <alignment horizontal="left" vertical="center"/>
      <protection/>
    </xf>
    <xf numFmtId="0" fontId="11" fillId="0" borderId="0" xfId="53" applyFont="1" applyBorder="1" applyAlignment="1">
      <alignment horizontal="justify" vertical="center"/>
      <protection/>
    </xf>
    <xf numFmtId="2" fontId="8" fillId="0" borderId="41" xfId="53" applyNumberFormat="1" applyFont="1" applyFill="1" applyBorder="1" applyAlignment="1">
      <alignment horizontal="center" vertical="top" wrapText="1"/>
      <protection/>
    </xf>
    <xf numFmtId="0" fontId="33" fillId="32" borderId="14" xfId="53" applyFont="1" applyFill="1" applyBorder="1" applyAlignment="1">
      <alignment vertical="top" wrapText="1"/>
      <protection/>
    </xf>
    <xf numFmtId="172" fontId="8" fillId="32" borderId="21" xfId="53" applyNumberFormat="1" applyFont="1" applyFill="1" applyBorder="1" applyAlignment="1">
      <alignment horizontal="center" vertical="top" wrapText="1"/>
      <protection/>
    </xf>
    <xf numFmtId="172" fontId="8" fillId="0" borderId="18" xfId="53" applyNumberFormat="1" applyFont="1" applyBorder="1" applyAlignment="1">
      <alignment horizontal="center" vertical="top" wrapText="1"/>
      <protection/>
    </xf>
    <xf numFmtId="2" fontId="8" fillId="35" borderId="17" xfId="53" applyNumberFormat="1" applyFont="1" applyFill="1" applyBorder="1" applyAlignment="1">
      <alignment horizontal="center" vertical="top" wrapText="1"/>
      <protection/>
    </xf>
    <xf numFmtId="172" fontId="8" fillId="32" borderId="17" xfId="53" applyNumberFormat="1" applyFont="1" applyFill="1" applyBorder="1" applyAlignment="1">
      <alignment horizontal="center" vertical="top" wrapText="1"/>
      <protection/>
    </xf>
    <xf numFmtId="2" fontId="8" fillId="0" borderId="22" xfId="53" applyNumberFormat="1" applyFont="1" applyFill="1" applyBorder="1" applyAlignment="1">
      <alignment horizontal="center" vertical="top" wrapText="1"/>
      <protection/>
    </xf>
    <xf numFmtId="172" fontId="8" fillId="35" borderId="21" xfId="53" applyNumberFormat="1" applyFont="1" applyFill="1" applyBorder="1" applyAlignment="1">
      <alignment horizontal="center" vertical="top" wrapText="1"/>
      <protection/>
    </xf>
    <xf numFmtId="0" fontId="8" fillId="32" borderId="27" xfId="53" applyFont="1" applyFill="1" applyBorder="1" applyAlignment="1">
      <alignment vertical="top" wrapText="1"/>
      <protection/>
    </xf>
    <xf numFmtId="0" fontId="9" fillId="0" borderId="24" xfId="53" applyFont="1" applyBorder="1" applyAlignment="1">
      <alignment vertical="top" wrapText="1"/>
      <protection/>
    </xf>
    <xf numFmtId="0" fontId="14" fillId="0" borderId="16" xfId="53" applyFont="1" applyBorder="1" applyAlignment="1">
      <alignment vertical="center"/>
      <protection/>
    </xf>
    <xf numFmtId="1" fontId="12" fillId="0" borderId="0" xfId="53" applyNumberFormat="1" applyFont="1" applyFill="1" applyBorder="1" applyAlignment="1">
      <alignment horizontal="center" vertical="top" wrapText="1"/>
      <protection/>
    </xf>
    <xf numFmtId="0" fontId="8" fillId="35" borderId="17" xfId="53" applyFont="1" applyFill="1" applyBorder="1" applyAlignment="1">
      <alignment vertical="top" wrapText="1"/>
      <protection/>
    </xf>
    <xf numFmtId="2" fontId="8" fillId="35" borderId="18" xfId="53" applyNumberFormat="1" applyFont="1" applyFill="1" applyBorder="1" applyAlignment="1">
      <alignment horizontal="center" vertical="top" wrapText="1"/>
      <protection/>
    </xf>
    <xf numFmtId="0" fontId="8" fillId="32" borderId="42" xfId="53" applyFont="1" applyFill="1" applyBorder="1" applyAlignment="1">
      <alignment vertical="top" wrapText="1"/>
      <protection/>
    </xf>
    <xf numFmtId="0" fontId="9" fillId="0" borderId="24" xfId="53" applyFont="1" applyFill="1" applyBorder="1" applyAlignment="1">
      <alignment vertical="top" wrapText="1"/>
      <protection/>
    </xf>
    <xf numFmtId="1" fontId="8" fillId="0" borderId="22" xfId="53" applyNumberFormat="1" applyFont="1" applyBorder="1" applyAlignment="1">
      <alignment horizontal="center" vertical="top" wrapText="1"/>
      <protection/>
    </xf>
    <xf numFmtId="0" fontId="16" fillId="0" borderId="17" xfId="53" applyFont="1" applyFill="1" applyBorder="1" applyAlignment="1">
      <alignment vertical="top" wrapText="1"/>
      <protection/>
    </xf>
    <xf numFmtId="2" fontId="8" fillId="0" borderId="42" xfId="53" applyNumberFormat="1" applyFont="1" applyFill="1" applyBorder="1" applyAlignment="1">
      <alignment horizontal="center" vertical="top" wrapText="1"/>
      <protection/>
    </xf>
    <xf numFmtId="172" fontId="8" fillId="0" borderId="42" xfId="53" applyNumberFormat="1" applyFont="1" applyFill="1" applyBorder="1" applyAlignment="1">
      <alignment horizontal="center" vertical="top" wrapText="1"/>
      <protection/>
    </xf>
    <xf numFmtId="0" fontId="8" fillId="32" borderId="24" xfId="53" applyFont="1" applyFill="1" applyBorder="1" applyAlignment="1">
      <alignment vertical="top" wrapText="1"/>
      <protection/>
    </xf>
    <xf numFmtId="0" fontId="9" fillId="32" borderId="44" xfId="53" applyFont="1" applyFill="1" applyBorder="1" applyAlignment="1">
      <alignment vertical="top" wrapText="1"/>
      <protection/>
    </xf>
    <xf numFmtId="0" fontId="16" fillId="32" borderId="17" xfId="53" applyFont="1" applyFill="1" applyBorder="1" applyAlignment="1">
      <alignment vertical="top" wrapText="1"/>
      <protection/>
    </xf>
    <xf numFmtId="0" fontId="9" fillId="0" borderId="18" xfId="0" applyFont="1" applyBorder="1" applyAlignment="1">
      <alignment vertical="top" wrapText="1"/>
    </xf>
    <xf numFmtId="0" fontId="9" fillId="0" borderId="42" xfId="53" applyFont="1" applyFill="1" applyBorder="1" applyAlignment="1">
      <alignment vertical="top" wrapText="1"/>
      <protection/>
    </xf>
    <xf numFmtId="0" fontId="11" fillId="0" borderId="13" xfId="53" applyFont="1" applyBorder="1" applyAlignment="1">
      <alignment horizontal="center" vertical="center"/>
      <protection/>
    </xf>
    <xf numFmtId="172" fontId="12" fillId="0" borderId="13" xfId="53" applyNumberFormat="1" applyFont="1" applyBorder="1" applyAlignment="1">
      <alignment horizontal="center" vertical="center" wrapText="1"/>
      <protection/>
    </xf>
    <xf numFmtId="172" fontId="11" fillId="0" borderId="13" xfId="53" applyNumberFormat="1" applyFont="1" applyBorder="1" applyAlignment="1">
      <alignment horizontal="center" vertical="center"/>
      <protection/>
    </xf>
    <xf numFmtId="1" fontId="12" fillId="0" borderId="19" xfId="53" applyNumberFormat="1" applyFont="1" applyBorder="1" applyAlignment="1">
      <alignment horizontal="center" vertical="top" wrapText="1"/>
      <protection/>
    </xf>
    <xf numFmtId="0" fontId="8" fillId="32" borderId="41" xfId="53" applyFont="1" applyFill="1" applyBorder="1" applyAlignment="1">
      <alignment vertical="top" wrapText="1"/>
      <protection/>
    </xf>
    <xf numFmtId="2" fontId="8" fillId="32" borderId="43" xfId="53" applyNumberFormat="1" applyFont="1" applyFill="1" applyBorder="1" applyAlignment="1">
      <alignment horizontal="center" vertical="top" wrapText="1"/>
      <protection/>
    </xf>
    <xf numFmtId="0" fontId="33" fillId="0" borderId="21" xfId="53" applyFont="1" applyBorder="1" applyAlignment="1">
      <alignment vertical="top" wrapText="1"/>
      <protection/>
    </xf>
    <xf numFmtId="2" fontId="11" fillId="0" borderId="33" xfId="53" applyNumberFormat="1" applyFont="1" applyBorder="1" applyAlignment="1">
      <alignment horizontal="center" vertical="top" wrapText="1"/>
      <protection/>
    </xf>
    <xf numFmtId="0" fontId="29" fillId="0" borderId="13" xfId="53" applyFont="1" applyBorder="1" applyAlignment="1">
      <alignment horizontal="center" vertical="top" wrapText="1"/>
      <protection/>
    </xf>
    <xf numFmtId="2" fontId="29" fillId="0" borderId="13" xfId="53" applyNumberFormat="1" applyFont="1" applyBorder="1" applyAlignment="1">
      <alignment horizontal="center" vertical="top" wrapText="1"/>
      <protection/>
    </xf>
    <xf numFmtId="0" fontId="33" fillId="32" borderId="17" xfId="53" applyFont="1" applyFill="1" applyBorder="1" applyAlignment="1">
      <alignment vertical="top" wrapText="1"/>
      <protection/>
    </xf>
    <xf numFmtId="0" fontId="26" fillId="32" borderId="33" xfId="53" applyFont="1" applyFill="1" applyBorder="1" applyAlignment="1">
      <alignment vertical="top" wrapText="1"/>
      <protection/>
    </xf>
    <xf numFmtId="0" fontId="8" fillId="0" borderId="20" xfId="53" applyFont="1" applyBorder="1" applyAlignment="1">
      <alignment horizontal="center" vertical="top" wrapText="1"/>
      <protection/>
    </xf>
    <xf numFmtId="0" fontId="33" fillId="32" borderId="33" xfId="53" applyFont="1" applyFill="1" applyBorder="1" applyAlignment="1">
      <alignment vertical="top" wrapText="1"/>
      <protection/>
    </xf>
    <xf numFmtId="0" fontId="8" fillId="35" borderId="34" xfId="53" applyFont="1" applyFill="1" applyBorder="1" applyAlignment="1">
      <alignment vertical="top" wrapText="1"/>
      <protection/>
    </xf>
    <xf numFmtId="0" fontId="8" fillId="0" borderId="33" xfId="53" applyFont="1" applyFill="1" applyBorder="1" applyAlignment="1">
      <alignment horizontal="center" vertical="top" wrapText="1"/>
      <protection/>
    </xf>
    <xf numFmtId="0" fontId="21" fillId="32" borderId="14" xfId="53" applyFont="1" applyFill="1" applyBorder="1" applyAlignment="1">
      <alignment vertical="top" wrapText="1"/>
      <protection/>
    </xf>
    <xf numFmtId="0" fontId="29" fillId="0" borderId="17" xfId="53" applyFont="1" applyBorder="1" applyAlignment="1">
      <alignment horizontal="center" vertical="top" wrapText="1"/>
      <protection/>
    </xf>
    <xf numFmtId="0" fontId="29" fillId="0" borderId="18" xfId="53" applyFont="1" applyBorder="1" applyAlignment="1">
      <alignment horizontal="center" vertical="top" wrapText="1"/>
      <protection/>
    </xf>
    <xf numFmtId="0" fontId="10" fillId="0" borderId="33" xfId="53" applyFont="1" applyBorder="1" applyAlignment="1">
      <alignment horizontal="center" vertical="top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2" fontId="11" fillId="0" borderId="34" xfId="53" applyNumberFormat="1" applyFont="1" applyBorder="1" applyAlignment="1">
      <alignment horizontal="center" vertical="top" wrapText="1"/>
      <protection/>
    </xf>
    <xf numFmtId="2" fontId="11" fillId="0" borderId="45" xfId="53" applyNumberFormat="1" applyFont="1" applyBorder="1" applyAlignment="1">
      <alignment horizontal="center" vertical="top" wrapText="1"/>
      <protection/>
    </xf>
    <xf numFmtId="2" fontId="11" fillId="0" borderId="36" xfId="53" applyNumberFormat="1" applyFont="1" applyBorder="1" applyAlignment="1">
      <alignment horizontal="center" vertical="top" wrapText="1"/>
      <protection/>
    </xf>
    <xf numFmtId="0" fontId="71" fillId="0" borderId="45" xfId="0" applyFont="1" applyBorder="1" applyAlignment="1">
      <alignment horizontal="center" vertical="top" wrapText="1"/>
    </xf>
    <xf numFmtId="0" fontId="71" fillId="0" borderId="36" xfId="0" applyFont="1" applyBorder="1" applyAlignment="1">
      <alignment horizontal="center" vertical="top" wrapText="1"/>
    </xf>
    <xf numFmtId="0" fontId="10" fillId="0" borderId="39" xfId="53" applyFont="1" applyBorder="1" applyAlignment="1">
      <alignment horizontal="center" vertical="top" wrapText="1"/>
      <protection/>
    </xf>
    <xf numFmtId="2" fontId="11" fillId="0" borderId="31" xfId="53" applyNumberFormat="1" applyFont="1" applyBorder="1" applyAlignment="1">
      <alignment horizontal="center" vertical="top" wrapText="1"/>
      <protection/>
    </xf>
    <xf numFmtId="0" fontId="71" fillId="0" borderId="3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2" fontId="11" fillId="0" borderId="30" xfId="53" applyNumberFormat="1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0" fontId="29" fillId="0" borderId="20" xfId="53" applyFont="1" applyBorder="1" applyAlignment="1">
      <alignment horizontal="center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20" xfId="53" applyFont="1" applyBorder="1" applyAlignment="1">
      <alignment horizontal="center" vertical="top" wrapText="1"/>
      <protection/>
    </xf>
    <xf numFmtId="0" fontId="2" fillId="0" borderId="0" xfId="53" applyFont="1" applyAlignment="1">
      <alignment horizontal="left"/>
      <protection/>
    </xf>
    <xf numFmtId="0" fontId="0" fillId="0" borderId="0" xfId="0" applyAlignment="1">
      <alignment/>
    </xf>
    <xf numFmtId="0" fontId="23" fillId="0" borderId="42" xfId="54" applyFont="1" applyFill="1" applyBorder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0" fontId="8" fillId="0" borderId="0" xfId="53" applyFont="1" applyBorder="1" applyAlignment="1">
      <alignment horizontal="left" vertical="center" wrapText="1"/>
      <protection/>
    </xf>
    <xf numFmtId="172" fontId="8" fillId="0" borderId="0" xfId="53" applyNumberFormat="1" applyFont="1" applyBorder="1" applyAlignment="1">
      <alignment horizontal="left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2" fontId="11" fillId="0" borderId="12" xfId="53" applyNumberFormat="1" applyFont="1" applyBorder="1" applyAlignment="1">
      <alignment horizontal="center" vertical="top" wrapText="1"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2" fontId="11" fillId="0" borderId="33" xfId="53" applyNumberFormat="1" applyFont="1" applyBorder="1" applyAlignment="1">
      <alignment horizontal="center" vertical="top" wrapText="1"/>
      <protection/>
    </xf>
    <xf numFmtId="2" fontId="11" fillId="0" borderId="14" xfId="53" applyNumberFormat="1" applyFont="1" applyBorder="1" applyAlignment="1">
      <alignment horizontal="center" vertical="top" wrapText="1"/>
      <protection/>
    </xf>
    <xf numFmtId="1" fontId="11" fillId="0" borderId="33" xfId="53" applyNumberFormat="1" applyFont="1" applyBorder="1" applyAlignment="1">
      <alignment horizontal="center" vertical="top" wrapText="1"/>
      <protection/>
    </xf>
    <xf numFmtId="1" fontId="11" fillId="0" borderId="14" xfId="53" applyNumberFormat="1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6" fillId="0" borderId="0" xfId="53" applyFont="1" applyAlignment="1">
      <alignment horizontal="left"/>
      <protection/>
    </xf>
    <xf numFmtId="1" fontId="11" fillId="0" borderId="17" xfId="53" applyNumberFormat="1" applyFont="1" applyBorder="1" applyAlignment="1">
      <alignment horizontal="center" vertical="top" wrapText="1"/>
      <protection/>
    </xf>
    <xf numFmtId="1" fontId="11" fillId="0" borderId="20" xfId="53" applyNumberFormat="1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11" fillId="0" borderId="31" xfId="53" applyFont="1" applyBorder="1" applyAlignment="1">
      <alignment horizontal="center" vertical="top" wrapText="1"/>
      <protection/>
    </xf>
    <xf numFmtId="0" fontId="11" fillId="0" borderId="37" xfId="53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0" borderId="31" xfId="53" applyNumberFormat="1" applyFont="1" applyBorder="1" applyAlignment="1">
      <alignment horizontal="center" vertical="top" wrapText="1"/>
      <protection/>
    </xf>
    <xf numFmtId="1" fontId="11" fillId="0" borderId="37" xfId="53" applyNumberFormat="1" applyFont="1" applyBorder="1" applyAlignment="1">
      <alignment horizontal="center" vertical="top" wrapText="1"/>
      <protection/>
    </xf>
    <xf numFmtId="1" fontId="11" fillId="0" borderId="18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0" fontId="16" fillId="32" borderId="46" xfId="53" applyFont="1" applyFill="1" applyBorder="1" applyAlignment="1">
      <alignment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!!!натур нормы 4-11 3-4  неделя!!!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I457"/>
  <sheetViews>
    <sheetView tabSelected="1" view="pageBreakPreview" zoomScale="85" zoomScaleNormal="85" zoomScaleSheetLayoutView="85" zoomScalePageLayoutView="0" workbookViewId="0" topLeftCell="A277">
      <selection activeCell="A167" sqref="A167:IV167"/>
    </sheetView>
  </sheetViews>
  <sheetFormatPr defaultColWidth="9.140625" defaultRowHeight="16.5" customHeight="1"/>
  <cols>
    <col min="1" max="1" width="8.00390625" style="6" customWidth="1"/>
    <col min="2" max="2" width="38.00390625" style="6" customWidth="1"/>
    <col min="3" max="3" width="8.00390625" style="6" customWidth="1"/>
    <col min="4" max="4" width="6.57421875" style="17" customWidth="1"/>
    <col min="5" max="5" width="7.140625" style="17" customWidth="1"/>
    <col min="6" max="6" width="7.28125" style="17" customWidth="1"/>
    <col min="7" max="7" width="7.8515625" style="17" customWidth="1"/>
    <col min="8" max="8" width="7.28125" style="17" customWidth="1"/>
    <col min="9" max="9" width="7.421875" style="17" customWidth="1"/>
    <col min="10" max="10" width="6.7109375" style="17" customWidth="1"/>
    <col min="11" max="11" width="7.00390625" style="17" customWidth="1"/>
    <col min="12" max="13" width="6.421875" style="17" customWidth="1"/>
    <col min="14" max="14" width="6.8515625" style="17" customWidth="1"/>
    <col min="15" max="16" width="6.421875" style="17" customWidth="1"/>
    <col min="17" max="17" width="6.57421875" style="17" customWidth="1"/>
    <col min="18" max="18" width="7.57421875" style="17" customWidth="1"/>
    <col min="19" max="19" width="6.7109375" style="17" customWidth="1"/>
    <col min="20" max="20" width="7.140625" style="17" customWidth="1"/>
    <col min="21" max="21" width="7.28125" style="6" customWidth="1"/>
    <col min="22" max="22" width="10.140625" style="6" customWidth="1"/>
    <col min="23" max="23" width="9.140625" style="25" customWidth="1"/>
    <col min="24" max="16384" width="9.140625" style="6" customWidth="1"/>
  </cols>
  <sheetData>
    <row r="1" spans="1:35" ht="16.5" customHeight="1">
      <c r="A1" s="219"/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  <c r="V1" s="219"/>
      <c r="W1" s="220"/>
      <c r="X1" s="219"/>
      <c r="Y1" s="219"/>
      <c r="Z1" s="219"/>
      <c r="AA1" s="219"/>
      <c r="AB1" s="4"/>
      <c r="AC1" s="4"/>
      <c r="AD1" s="4"/>
      <c r="AE1" s="4"/>
      <c r="AF1" s="4"/>
      <c r="AG1" s="4"/>
      <c r="AH1" s="4"/>
      <c r="AI1" s="4"/>
    </row>
    <row r="2" spans="1:35" ht="16.5" customHeight="1">
      <c r="A2" s="219"/>
      <c r="B2" s="1" t="s">
        <v>1</v>
      </c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219"/>
      <c r="W2" s="220"/>
      <c r="X2" s="219"/>
      <c r="Y2" s="219"/>
      <c r="Z2" s="219"/>
      <c r="AA2" s="219"/>
      <c r="AB2" s="4"/>
      <c r="AC2" s="4"/>
      <c r="AD2" s="4"/>
      <c r="AE2" s="4"/>
      <c r="AF2" s="4"/>
      <c r="AG2" s="4"/>
      <c r="AH2" s="4"/>
      <c r="AI2" s="4"/>
    </row>
    <row r="3" spans="1:35" ht="16.5" customHeight="1">
      <c r="A3" s="219"/>
      <c r="B3" s="1" t="s">
        <v>409</v>
      </c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219"/>
      <c r="W3" s="220"/>
      <c r="X3" s="219"/>
      <c r="Y3" s="219"/>
      <c r="Z3" s="219"/>
      <c r="AA3" s="219"/>
      <c r="AB3" s="4"/>
      <c r="AC3" s="4"/>
      <c r="AD3" s="4"/>
      <c r="AE3" s="4"/>
      <c r="AF3" s="4"/>
      <c r="AG3" s="4"/>
      <c r="AH3" s="4"/>
      <c r="AI3" s="4"/>
    </row>
    <row r="4" spans="1:35" ht="16.5" customHeight="1">
      <c r="A4" s="219"/>
      <c r="B4" s="1" t="s">
        <v>3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219"/>
      <c r="W4" s="220"/>
      <c r="X4" s="219"/>
      <c r="Y4" s="219"/>
      <c r="Z4" s="219"/>
      <c r="AA4" s="219"/>
      <c r="AB4" s="4"/>
      <c r="AC4" s="4"/>
      <c r="AD4" s="4"/>
      <c r="AE4" s="4"/>
      <c r="AF4" s="4"/>
      <c r="AG4" s="4"/>
      <c r="AH4" s="4"/>
      <c r="AI4" s="4"/>
    </row>
    <row r="5" spans="1:28" ht="16.5" customHeight="1">
      <c r="A5" s="219"/>
      <c r="B5" s="1" t="s">
        <v>360</v>
      </c>
      <c r="C5" s="219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19"/>
      <c r="V5" s="219"/>
      <c r="W5" s="220"/>
      <c r="X5" s="219"/>
      <c r="Y5" s="219"/>
      <c r="Z5" s="219"/>
      <c r="AA5" s="219"/>
      <c r="AB5" s="4"/>
    </row>
    <row r="6" spans="1:28" ht="16.5" customHeight="1">
      <c r="A6" s="219"/>
      <c r="B6" s="1" t="s">
        <v>410</v>
      </c>
      <c r="C6" s="219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9"/>
      <c r="V6" s="219"/>
      <c r="W6" s="220"/>
      <c r="X6" s="219"/>
      <c r="Y6" s="219"/>
      <c r="Z6" s="219"/>
      <c r="AA6" s="219"/>
      <c r="AB6" s="4"/>
    </row>
    <row r="7" spans="1:27" ht="16.5" customHeight="1">
      <c r="A7" s="219"/>
      <c r="B7" s="1" t="s">
        <v>359</v>
      </c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219"/>
      <c r="W7" s="220"/>
      <c r="X7" s="219"/>
      <c r="Y7" s="219"/>
      <c r="Z7" s="219"/>
      <c r="AA7" s="219"/>
    </row>
    <row r="8" spans="1:27" ht="16.5" customHeight="1">
      <c r="A8" s="219"/>
      <c r="B8" s="483" t="s">
        <v>7</v>
      </c>
      <c r="C8" s="483"/>
      <c r="D8" s="484"/>
      <c r="E8" s="484"/>
      <c r="F8" s="48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219"/>
      <c r="W8" s="220"/>
      <c r="X8" s="219"/>
      <c r="Y8" s="219"/>
      <c r="Z8" s="219"/>
      <c r="AA8" s="219"/>
    </row>
    <row r="9" spans="1:27" ht="16.5" customHeight="1">
      <c r="A9" s="219"/>
      <c r="B9" s="483" t="s">
        <v>8</v>
      </c>
      <c r="C9" s="483"/>
      <c r="D9" s="484"/>
      <c r="E9" s="48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219"/>
      <c r="W9" s="220"/>
      <c r="X9" s="219"/>
      <c r="Y9" s="219"/>
      <c r="Z9" s="219"/>
      <c r="AA9" s="219"/>
    </row>
    <row r="10" spans="1:24" ht="16.5" customHeight="1">
      <c r="A10" s="295"/>
      <c r="B10" s="325" t="s">
        <v>363</v>
      </c>
      <c r="C10" s="295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19"/>
      <c r="W10" s="220"/>
      <c r="X10" s="219"/>
    </row>
    <row r="11" spans="1:24" ht="16.5" customHeight="1">
      <c r="A11" s="295"/>
      <c r="B11" s="325" t="s">
        <v>10</v>
      </c>
      <c r="C11" s="295"/>
      <c r="D11" s="298"/>
      <c r="E11" s="298" t="s">
        <v>422</v>
      </c>
      <c r="F11" s="298"/>
      <c r="G11" s="298"/>
      <c r="H11" s="298" t="s">
        <v>436</v>
      </c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19"/>
      <c r="W11" s="220"/>
      <c r="X11" s="219"/>
    </row>
    <row r="12" spans="1:24" ht="16.5" customHeight="1">
      <c r="A12" s="295"/>
      <c r="B12" s="325" t="s">
        <v>473</v>
      </c>
      <c r="C12" s="295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19"/>
      <c r="W12" s="220"/>
      <c r="X12" s="219"/>
    </row>
    <row r="13" spans="1:24" ht="16.5" customHeight="1" thickBot="1">
      <c r="A13" s="295"/>
      <c r="B13" s="20" t="s">
        <v>433</v>
      </c>
      <c r="C13" s="316"/>
      <c r="D13" s="40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19"/>
      <c r="W13" s="220"/>
      <c r="X13" s="219"/>
    </row>
    <row r="14" spans="1:24" ht="16.5" customHeight="1" thickBot="1">
      <c r="A14" s="465" t="s">
        <v>411</v>
      </c>
      <c r="B14" s="481" t="s">
        <v>11</v>
      </c>
      <c r="C14" s="236" t="s">
        <v>12</v>
      </c>
      <c r="D14" s="475" t="s">
        <v>15</v>
      </c>
      <c r="E14" s="478"/>
      <c r="F14" s="479"/>
      <c r="G14" s="455" t="s">
        <v>16</v>
      </c>
      <c r="H14" s="475" t="s">
        <v>389</v>
      </c>
      <c r="I14" s="476"/>
      <c r="J14" s="476"/>
      <c r="K14" s="476"/>
      <c r="L14" s="476"/>
      <c r="M14" s="476"/>
      <c r="N14" s="476"/>
      <c r="O14" s="477"/>
      <c r="P14" s="475" t="s">
        <v>382</v>
      </c>
      <c r="Q14" s="478"/>
      <c r="R14" s="476"/>
      <c r="S14" s="476"/>
      <c r="T14" s="477"/>
      <c r="U14" s="360"/>
      <c r="V14" s="219"/>
      <c r="W14" s="220"/>
      <c r="X14" s="219"/>
    </row>
    <row r="15" spans="1:24" ht="30" customHeight="1" thickBot="1">
      <c r="A15" s="480"/>
      <c r="B15" s="482"/>
      <c r="C15" s="456" t="s">
        <v>17</v>
      </c>
      <c r="D15" s="98" t="s">
        <v>18</v>
      </c>
      <c r="E15" s="98" t="s">
        <v>19</v>
      </c>
      <c r="F15" s="98" t="s">
        <v>20</v>
      </c>
      <c r="G15" s="457" t="s">
        <v>21</v>
      </c>
      <c r="H15" s="98" t="s">
        <v>416</v>
      </c>
      <c r="I15" s="98" t="s">
        <v>383</v>
      </c>
      <c r="J15" s="98" t="s">
        <v>384</v>
      </c>
      <c r="K15" s="98" t="s">
        <v>385</v>
      </c>
      <c r="L15" s="98" t="s">
        <v>386</v>
      </c>
      <c r="M15" s="98" t="s">
        <v>418</v>
      </c>
      <c r="N15" s="98" t="s">
        <v>419</v>
      </c>
      <c r="O15" s="98" t="s">
        <v>420</v>
      </c>
      <c r="P15" s="98" t="s">
        <v>387</v>
      </c>
      <c r="Q15" s="98" t="s">
        <v>414</v>
      </c>
      <c r="R15" s="98" t="s">
        <v>388</v>
      </c>
      <c r="S15" s="98" t="s">
        <v>417</v>
      </c>
      <c r="T15" s="98" t="s">
        <v>415</v>
      </c>
      <c r="U15" s="57"/>
      <c r="V15" s="219"/>
      <c r="W15" s="220"/>
      <c r="X15" s="219"/>
    </row>
    <row r="16" spans="1:24" ht="16.5" customHeight="1" thickBot="1">
      <c r="A16" s="299"/>
      <c r="B16" s="300" t="s">
        <v>22</v>
      </c>
      <c r="C16" s="301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23"/>
      <c r="V16" s="219"/>
      <c r="W16" s="220"/>
      <c r="X16" s="219"/>
    </row>
    <row r="17" spans="1:24" ht="38.25" customHeight="1">
      <c r="A17" s="337" t="s">
        <v>390</v>
      </c>
      <c r="B17" s="320" t="s">
        <v>424</v>
      </c>
      <c r="C17" s="341">
        <v>205</v>
      </c>
      <c r="D17" s="130">
        <v>5.56</v>
      </c>
      <c r="E17" s="130">
        <v>7.77</v>
      </c>
      <c r="F17" s="130">
        <v>32.86</v>
      </c>
      <c r="G17" s="425">
        <v>223.6</v>
      </c>
      <c r="H17" s="425">
        <v>163.18</v>
      </c>
      <c r="I17" s="425">
        <v>147</v>
      </c>
      <c r="J17" s="425">
        <v>155</v>
      </c>
      <c r="K17" s="384">
        <v>32.2</v>
      </c>
      <c r="L17" s="384">
        <v>0.45</v>
      </c>
      <c r="M17" s="384">
        <v>8.5</v>
      </c>
      <c r="N17" s="384">
        <v>7.26</v>
      </c>
      <c r="O17" s="425">
        <v>39.7</v>
      </c>
      <c r="P17" s="384">
        <v>0.07</v>
      </c>
      <c r="Q17" s="384">
        <v>0.14</v>
      </c>
      <c r="R17" s="384">
        <v>1.56</v>
      </c>
      <c r="S17" s="384">
        <v>44</v>
      </c>
      <c r="T17" s="453">
        <v>0.65</v>
      </c>
      <c r="U17" s="361"/>
      <c r="V17" s="219"/>
      <c r="W17" s="220"/>
      <c r="X17" s="219"/>
    </row>
    <row r="18" spans="1:24" ht="26.25" customHeight="1">
      <c r="A18" s="351" t="s">
        <v>406</v>
      </c>
      <c r="B18" s="320" t="s">
        <v>479</v>
      </c>
      <c r="C18" s="341">
        <v>75</v>
      </c>
      <c r="D18" s="106">
        <v>8.48</v>
      </c>
      <c r="E18" s="106">
        <v>9.1</v>
      </c>
      <c r="F18" s="106">
        <v>27.885</v>
      </c>
      <c r="G18" s="118">
        <v>153.3</v>
      </c>
      <c r="H18" s="118">
        <v>195</v>
      </c>
      <c r="I18" s="106">
        <v>180.75</v>
      </c>
      <c r="J18" s="106">
        <v>25.25</v>
      </c>
      <c r="K18" s="373">
        <v>133.25</v>
      </c>
      <c r="L18" s="106">
        <v>0.5</v>
      </c>
      <c r="M18" s="106">
        <v>1.1</v>
      </c>
      <c r="N18" s="106">
        <v>4.9</v>
      </c>
      <c r="O18" s="106">
        <v>4.8</v>
      </c>
      <c r="P18" s="106">
        <v>0.04</v>
      </c>
      <c r="Q18" s="106">
        <v>0.07</v>
      </c>
      <c r="R18" s="106">
        <v>0.14</v>
      </c>
      <c r="S18" s="106">
        <v>52</v>
      </c>
      <c r="T18" s="106">
        <v>0.19</v>
      </c>
      <c r="U18" s="361"/>
      <c r="V18" s="219"/>
      <c r="W18" s="220"/>
      <c r="X18" s="219"/>
    </row>
    <row r="19" spans="1:24" ht="27" customHeight="1">
      <c r="A19" s="352" t="s">
        <v>31</v>
      </c>
      <c r="B19" s="342" t="s">
        <v>426</v>
      </c>
      <c r="C19" s="119">
        <v>200</v>
      </c>
      <c r="D19" s="106">
        <v>3.77</v>
      </c>
      <c r="E19" s="106">
        <v>2.5</v>
      </c>
      <c r="F19" s="106">
        <v>26</v>
      </c>
      <c r="G19" s="118">
        <v>151.28</v>
      </c>
      <c r="H19" s="118">
        <v>146</v>
      </c>
      <c r="I19" s="118">
        <v>221</v>
      </c>
      <c r="J19" s="118">
        <v>14</v>
      </c>
      <c r="K19" s="118">
        <v>3.2</v>
      </c>
      <c r="L19" s="118">
        <v>1</v>
      </c>
      <c r="M19" s="118">
        <v>0.9</v>
      </c>
      <c r="N19" s="118">
        <v>2</v>
      </c>
      <c r="O19" s="118">
        <v>20</v>
      </c>
      <c r="P19" s="118">
        <v>0.3</v>
      </c>
      <c r="Q19" s="118">
        <v>0.15</v>
      </c>
      <c r="R19" s="118">
        <v>15</v>
      </c>
      <c r="S19" s="365">
        <v>130</v>
      </c>
      <c r="T19" s="118">
        <v>2.5</v>
      </c>
      <c r="U19" s="361"/>
      <c r="V19" s="219"/>
      <c r="W19" s="220"/>
      <c r="X19" s="219"/>
    </row>
    <row r="20" spans="1:24" ht="27" customHeight="1" thickBot="1">
      <c r="A20" s="352" t="s">
        <v>408</v>
      </c>
      <c r="B20" s="318" t="s">
        <v>407</v>
      </c>
      <c r="C20" s="374">
        <v>100</v>
      </c>
      <c r="D20" s="376">
        <v>0.7</v>
      </c>
      <c r="E20" s="376">
        <v>0.1</v>
      </c>
      <c r="F20" s="376">
        <v>7.5</v>
      </c>
      <c r="G20" s="375">
        <v>38</v>
      </c>
      <c r="H20" s="375">
        <v>155</v>
      </c>
      <c r="I20" s="376">
        <v>30</v>
      </c>
      <c r="J20" s="376">
        <v>11</v>
      </c>
      <c r="K20" s="377">
        <v>17</v>
      </c>
      <c r="L20" s="376">
        <v>0.1</v>
      </c>
      <c r="M20" s="376">
        <v>0.3</v>
      </c>
      <c r="N20" s="376">
        <v>0.1</v>
      </c>
      <c r="O20" s="378">
        <v>150</v>
      </c>
      <c r="P20" s="376">
        <v>0.04</v>
      </c>
      <c r="Q20" s="376">
        <v>0.03</v>
      </c>
      <c r="R20" s="376">
        <v>35</v>
      </c>
      <c r="S20" s="376">
        <v>0</v>
      </c>
      <c r="T20" s="375">
        <v>0.2</v>
      </c>
      <c r="U20" s="361"/>
      <c r="V20" s="219"/>
      <c r="W20" s="220"/>
      <c r="X20" s="219"/>
    </row>
    <row r="21" spans="1:24" ht="23.25" customHeight="1" thickBot="1">
      <c r="A21" s="353"/>
      <c r="B21" s="433" t="s">
        <v>226</v>
      </c>
      <c r="C21" s="366">
        <v>580</v>
      </c>
      <c r="D21" s="354">
        <f>SUM(D17:D20)</f>
        <v>18.509999999999998</v>
      </c>
      <c r="E21" s="354">
        <f>SUM(E17:E20)</f>
        <v>19.47</v>
      </c>
      <c r="F21" s="354">
        <f>SUM(F17:F20)</f>
        <v>94.245</v>
      </c>
      <c r="G21" s="354">
        <f>SUM(G17:G20)</f>
        <v>566.18</v>
      </c>
      <c r="H21" s="354">
        <f>SUM(H17:H20)</f>
        <v>659.1800000000001</v>
      </c>
      <c r="I21" s="354">
        <f>SUM(I17:I20)</f>
        <v>578.75</v>
      </c>
      <c r="J21" s="354">
        <f>SUM(J17:J20)</f>
        <v>205.25</v>
      </c>
      <c r="K21" s="354">
        <f>SUM(K17:K20)</f>
        <v>185.64999999999998</v>
      </c>
      <c r="L21" s="354">
        <f>SUM(L17:L20)</f>
        <v>2.05</v>
      </c>
      <c r="M21" s="354">
        <f>SUM(M17:M20)</f>
        <v>10.8</v>
      </c>
      <c r="N21" s="354">
        <f>SUM(N17:N20)</f>
        <v>14.26</v>
      </c>
      <c r="O21" s="354">
        <f>SUM(O17:O20)</f>
        <v>214.5</v>
      </c>
      <c r="P21" s="354">
        <f>SUM(P17:P20)</f>
        <v>0.45</v>
      </c>
      <c r="Q21" s="354">
        <f>SUM(Q17:Q20)</f>
        <v>0.39</v>
      </c>
      <c r="R21" s="354">
        <f>SUM(R17:R20)</f>
        <v>51.7</v>
      </c>
      <c r="S21" s="354">
        <f>SUM(S17:S20)</f>
        <v>226</v>
      </c>
      <c r="T21" s="331">
        <f>SUM(T17:T19)</f>
        <v>3.34</v>
      </c>
      <c r="U21" s="38"/>
      <c r="V21" s="221"/>
      <c r="W21" s="220"/>
      <c r="X21" s="219"/>
    </row>
    <row r="22" spans="1:24" ht="23.25" customHeight="1" thickBot="1">
      <c r="A22" s="404"/>
      <c r="B22" s="316"/>
      <c r="C22" s="405"/>
      <c r="D22" s="38"/>
      <c r="E22" s="298" t="s">
        <v>423</v>
      </c>
      <c r="F22" s="298"/>
      <c r="G22" s="362"/>
      <c r="H22" s="362"/>
      <c r="I22" s="362"/>
      <c r="J22" s="38"/>
      <c r="K22" s="362"/>
      <c r="L22" s="38"/>
      <c r="M22" s="37"/>
      <c r="N22" s="37"/>
      <c r="O22" s="37"/>
      <c r="P22" s="38"/>
      <c r="Q22" s="38"/>
      <c r="R22" s="38"/>
      <c r="S22" s="362"/>
      <c r="T22" s="38"/>
      <c r="U22" s="38"/>
      <c r="V22" s="221"/>
      <c r="W22" s="220"/>
      <c r="X22" s="219"/>
    </row>
    <row r="23" spans="1:24" ht="23.25" customHeight="1" thickBot="1">
      <c r="A23" s="465" t="s">
        <v>411</v>
      </c>
      <c r="B23" s="481" t="s">
        <v>11</v>
      </c>
      <c r="C23" s="236" t="s">
        <v>12</v>
      </c>
      <c r="D23" s="475" t="s">
        <v>15</v>
      </c>
      <c r="E23" s="478"/>
      <c r="F23" s="479"/>
      <c r="G23" s="455" t="s">
        <v>16</v>
      </c>
      <c r="H23" s="475" t="s">
        <v>389</v>
      </c>
      <c r="I23" s="476"/>
      <c r="J23" s="476"/>
      <c r="K23" s="476"/>
      <c r="L23" s="476"/>
      <c r="M23" s="476"/>
      <c r="N23" s="476"/>
      <c r="O23" s="477"/>
      <c r="P23" s="475" t="s">
        <v>382</v>
      </c>
      <c r="Q23" s="478"/>
      <c r="R23" s="476"/>
      <c r="S23" s="476"/>
      <c r="T23" s="477"/>
      <c r="U23" s="38"/>
      <c r="V23" s="221"/>
      <c r="W23" s="220"/>
      <c r="X23" s="219"/>
    </row>
    <row r="24" spans="1:24" ht="29.25" customHeight="1" thickBot="1">
      <c r="A24" s="480"/>
      <c r="B24" s="482"/>
      <c r="C24" s="456" t="s">
        <v>17</v>
      </c>
      <c r="D24" s="98" t="s">
        <v>18</v>
      </c>
      <c r="E24" s="98" t="s">
        <v>19</v>
      </c>
      <c r="F24" s="98" t="s">
        <v>20</v>
      </c>
      <c r="G24" s="457" t="s">
        <v>21</v>
      </c>
      <c r="H24" s="98" t="s">
        <v>416</v>
      </c>
      <c r="I24" s="98" t="s">
        <v>383</v>
      </c>
      <c r="J24" s="98" t="s">
        <v>384</v>
      </c>
      <c r="K24" s="98" t="s">
        <v>385</v>
      </c>
      <c r="L24" s="98" t="s">
        <v>386</v>
      </c>
      <c r="M24" s="98" t="s">
        <v>418</v>
      </c>
      <c r="N24" s="98" t="s">
        <v>419</v>
      </c>
      <c r="O24" s="98" t="s">
        <v>420</v>
      </c>
      <c r="P24" s="98" t="s">
        <v>387</v>
      </c>
      <c r="Q24" s="98" t="s">
        <v>414</v>
      </c>
      <c r="R24" s="98" t="s">
        <v>388</v>
      </c>
      <c r="S24" s="98" t="s">
        <v>417</v>
      </c>
      <c r="T24" s="98" t="s">
        <v>415</v>
      </c>
      <c r="U24" s="38"/>
      <c r="V24" s="221"/>
      <c r="W24" s="220"/>
      <c r="X24" s="219"/>
    </row>
    <row r="25" spans="1:24" ht="23.25" customHeight="1" thickBot="1">
      <c r="A25" s="299"/>
      <c r="B25" s="300" t="s">
        <v>22</v>
      </c>
      <c r="C25" s="301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3"/>
      <c r="U25" s="38"/>
      <c r="V25" s="221"/>
      <c r="W25" s="220"/>
      <c r="X25" s="219"/>
    </row>
    <row r="26" spans="1:24" ht="23.25" customHeight="1">
      <c r="A26" s="153" t="s">
        <v>412</v>
      </c>
      <c r="B26" s="342" t="s">
        <v>413</v>
      </c>
      <c r="C26" s="117">
        <v>200</v>
      </c>
      <c r="D26" s="168">
        <v>16.68</v>
      </c>
      <c r="E26" s="168">
        <v>17.16</v>
      </c>
      <c r="F26" s="168">
        <v>11.3</v>
      </c>
      <c r="G26" s="155">
        <v>310</v>
      </c>
      <c r="H26" s="155">
        <v>235.3</v>
      </c>
      <c r="I26" s="427">
        <v>152</v>
      </c>
      <c r="J26" s="387">
        <v>26.27</v>
      </c>
      <c r="K26" s="387">
        <v>344</v>
      </c>
      <c r="L26" s="168">
        <v>3.87</v>
      </c>
      <c r="M26" s="168">
        <v>28.75</v>
      </c>
      <c r="N26" s="168">
        <v>37.09</v>
      </c>
      <c r="O26" s="168">
        <v>76.27</v>
      </c>
      <c r="P26" s="168">
        <v>0.13</v>
      </c>
      <c r="Q26" s="168">
        <v>1.32</v>
      </c>
      <c r="R26" s="168">
        <v>0.48</v>
      </c>
      <c r="S26" s="428">
        <v>392</v>
      </c>
      <c r="T26" s="168">
        <v>2.93</v>
      </c>
      <c r="U26" s="38"/>
      <c r="V26" s="221"/>
      <c r="W26" s="220"/>
      <c r="X26" s="219"/>
    </row>
    <row r="27" spans="1:24" ht="23.25" customHeight="1">
      <c r="A27" s="516" t="s">
        <v>406</v>
      </c>
      <c r="B27" s="320" t="s">
        <v>480</v>
      </c>
      <c r="C27" s="341">
        <v>60</v>
      </c>
      <c r="D27" s="106">
        <v>6.48</v>
      </c>
      <c r="E27" s="106">
        <v>6.1</v>
      </c>
      <c r="F27" s="106">
        <v>27.85</v>
      </c>
      <c r="G27" s="118">
        <v>133.3</v>
      </c>
      <c r="H27" s="118">
        <v>195</v>
      </c>
      <c r="I27" s="106">
        <v>180.75</v>
      </c>
      <c r="J27" s="106">
        <v>25.25</v>
      </c>
      <c r="K27" s="373">
        <v>133.3</v>
      </c>
      <c r="L27" s="106">
        <v>0.5</v>
      </c>
      <c r="M27" s="106">
        <v>1.1</v>
      </c>
      <c r="N27" s="106">
        <v>4.9</v>
      </c>
      <c r="O27" s="106">
        <v>4.8</v>
      </c>
      <c r="P27" s="106">
        <v>0.04</v>
      </c>
      <c r="Q27" s="106">
        <v>0.07</v>
      </c>
      <c r="R27" s="106">
        <v>0.14</v>
      </c>
      <c r="S27" s="106">
        <v>52</v>
      </c>
      <c r="T27" s="106">
        <v>0.19</v>
      </c>
      <c r="U27" s="38"/>
      <c r="V27" s="221"/>
      <c r="W27" s="220"/>
      <c r="X27" s="219"/>
    </row>
    <row r="28" spans="1:24" ht="24" customHeight="1">
      <c r="A28" s="403" t="s">
        <v>367</v>
      </c>
      <c r="B28" s="431" t="s">
        <v>400</v>
      </c>
      <c r="C28" s="372">
        <v>115</v>
      </c>
      <c r="D28" s="358">
        <v>2.9</v>
      </c>
      <c r="E28" s="358">
        <v>3.5</v>
      </c>
      <c r="F28" s="358">
        <v>21.3</v>
      </c>
      <c r="G28" s="358">
        <v>88</v>
      </c>
      <c r="H28" s="358">
        <v>129</v>
      </c>
      <c r="I28" s="358">
        <v>235</v>
      </c>
      <c r="J28" s="358">
        <v>30</v>
      </c>
      <c r="K28" s="359">
        <v>196</v>
      </c>
      <c r="L28" s="358">
        <v>0</v>
      </c>
      <c r="M28" s="358">
        <v>0</v>
      </c>
      <c r="N28" s="358">
        <v>0</v>
      </c>
      <c r="O28" s="358">
        <v>0</v>
      </c>
      <c r="P28" s="358">
        <v>0.2</v>
      </c>
      <c r="Q28" s="358">
        <v>0.2</v>
      </c>
      <c r="R28" s="358">
        <v>2</v>
      </c>
      <c r="S28" s="358">
        <v>22</v>
      </c>
      <c r="T28" s="358">
        <v>0</v>
      </c>
      <c r="U28" s="38"/>
      <c r="V28" s="221"/>
      <c r="W28" s="220"/>
      <c r="X28" s="219"/>
    </row>
    <row r="29" spans="1:24" ht="23.25" customHeight="1" thickBot="1">
      <c r="A29" s="381" t="s">
        <v>377</v>
      </c>
      <c r="B29" s="432" t="s">
        <v>376</v>
      </c>
      <c r="C29" s="112">
        <v>200</v>
      </c>
      <c r="D29" s="106">
        <v>0.3</v>
      </c>
      <c r="E29" s="106">
        <v>0</v>
      </c>
      <c r="F29" s="106">
        <v>10.64</v>
      </c>
      <c r="G29" s="111">
        <v>45</v>
      </c>
      <c r="H29" s="111">
        <v>10.8</v>
      </c>
      <c r="I29" s="106">
        <v>8</v>
      </c>
      <c r="J29" s="106">
        <v>5</v>
      </c>
      <c r="K29" s="106">
        <v>10</v>
      </c>
      <c r="L29" s="106">
        <v>1</v>
      </c>
      <c r="M29" s="106">
        <v>0</v>
      </c>
      <c r="N29" s="106">
        <v>0.02</v>
      </c>
      <c r="O29" s="106">
        <v>0.7</v>
      </c>
      <c r="P29" s="106">
        <v>0</v>
      </c>
      <c r="Q29" s="106">
        <v>0</v>
      </c>
      <c r="R29" s="106">
        <v>3</v>
      </c>
      <c r="S29" s="106">
        <v>0</v>
      </c>
      <c r="T29" s="106">
        <v>0</v>
      </c>
      <c r="U29" s="38"/>
      <c r="V29" s="221"/>
      <c r="W29" s="220"/>
      <c r="X29" s="219"/>
    </row>
    <row r="30" spans="1:24" ht="20.25" customHeight="1" thickBot="1">
      <c r="A30" s="353"/>
      <c r="B30" s="433" t="s">
        <v>226</v>
      </c>
      <c r="C30" s="366">
        <v>585</v>
      </c>
      <c r="D30" s="331">
        <f>SUM(D26:D29)</f>
        <v>26.36</v>
      </c>
      <c r="E30" s="331">
        <f>SUM(E26:E29)</f>
        <v>26.759999999999998</v>
      </c>
      <c r="F30" s="335">
        <f>SUM(F26:F29)</f>
        <v>71.09</v>
      </c>
      <c r="G30" s="335">
        <f>SUM(G26:G29)</f>
        <v>576.3</v>
      </c>
      <c r="H30" s="335">
        <f>SUM(H26:H29)</f>
        <v>570.0999999999999</v>
      </c>
      <c r="I30" s="335">
        <f>SUM(I26:I29)</f>
        <v>575.75</v>
      </c>
      <c r="J30" s="335">
        <f>SUM(J26:J29)</f>
        <v>86.52</v>
      </c>
      <c r="K30" s="335">
        <f>SUM(K26:K29)</f>
        <v>683.3</v>
      </c>
      <c r="L30" s="331">
        <f>SUM(L26:L29)</f>
        <v>5.37</v>
      </c>
      <c r="M30" s="370">
        <f>SUM(M26:M29)</f>
        <v>29.85</v>
      </c>
      <c r="N30" s="370">
        <f>SUM(N26:N29)</f>
        <v>42.010000000000005</v>
      </c>
      <c r="O30" s="370">
        <f>SUM(O26:O29)</f>
        <v>81.77</v>
      </c>
      <c r="P30" s="331">
        <f>SUM(P26:P29)</f>
        <v>0.37</v>
      </c>
      <c r="Q30" s="331">
        <f>SUM(Q26:Q29)</f>
        <v>1.59</v>
      </c>
      <c r="R30" s="331">
        <f>SUM(R26:R29)</f>
        <v>5.62</v>
      </c>
      <c r="S30" s="335">
        <f>SUM(S26:S29)</f>
        <v>466</v>
      </c>
      <c r="T30" s="331">
        <f>SUM(T26:T29)</f>
        <v>3.12</v>
      </c>
      <c r="U30" s="296"/>
      <c r="V30" s="219"/>
      <c r="W30" s="220"/>
      <c r="X30" s="219"/>
    </row>
    <row r="31" spans="1:24" ht="16.5" customHeight="1">
      <c r="A31" s="404"/>
      <c r="B31" s="316"/>
      <c r="C31" s="405"/>
      <c r="D31" s="38"/>
      <c r="E31" s="38"/>
      <c r="F31" s="362"/>
      <c r="G31" s="362"/>
      <c r="H31" s="362"/>
      <c r="I31" s="362"/>
      <c r="J31" s="362"/>
      <c r="K31" s="362"/>
      <c r="L31" s="38"/>
      <c r="M31" s="37"/>
      <c r="N31" s="37"/>
      <c r="O31" s="37"/>
      <c r="P31" s="38"/>
      <c r="Q31" s="38"/>
      <c r="R31" s="38"/>
      <c r="S31" s="362"/>
      <c r="T31" s="38"/>
      <c r="U31" s="296"/>
      <c r="V31" s="219"/>
      <c r="W31" s="220"/>
      <c r="X31" s="219"/>
    </row>
    <row r="32" spans="1:24" ht="16.5" customHeight="1">
      <c r="A32" s="295"/>
      <c r="B32" s="325"/>
      <c r="C32" s="296"/>
      <c r="D32" s="297"/>
      <c r="E32" s="298"/>
      <c r="F32" s="298"/>
      <c r="G32" s="297"/>
      <c r="H32" s="298"/>
      <c r="I32" s="298"/>
      <c r="J32" s="298"/>
      <c r="K32" s="298"/>
      <c r="L32" s="297"/>
      <c r="M32" s="297"/>
      <c r="N32" s="297"/>
      <c r="O32" s="297"/>
      <c r="P32" s="297"/>
      <c r="Q32" s="297"/>
      <c r="R32" s="297"/>
      <c r="S32" s="297"/>
      <c r="T32" s="297"/>
      <c r="U32" s="296"/>
      <c r="V32" s="219"/>
      <c r="W32" s="220"/>
      <c r="X32" s="219"/>
    </row>
    <row r="33" spans="1:24" ht="16.5" customHeight="1">
      <c r="A33" s="295"/>
      <c r="B33" s="325"/>
      <c r="C33" s="296"/>
      <c r="D33" s="297"/>
      <c r="E33" s="298"/>
      <c r="F33" s="298"/>
      <c r="G33" s="297"/>
      <c r="H33" s="298"/>
      <c r="I33" s="298"/>
      <c r="J33" s="298"/>
      <c r="K33" s="298"/>
      <c r="L33" s="297"/>
      <c r="M33" s="297"/>
      <c r="N33" s="297"/>
      <c r="O33" s="297"/>
      <c r="P33" s="297"/>
      <c r="Q33" s="297"/>
      <c r="R33" s="297"/>
      <c r="S33" s="297"/>
      <c r="T33" s="297"/>
      <c r="U33" s="296"/>
      <c r="V33" s="219"/>
      <c r="W33" s="220"/>
      <c r="X33" s="219"/>
    </row>
    <row r="34" spans="1:24" ht="16.5" customHeight="1">
      <c r="A34" s="295"/>
      <c r="B34" s="325" t="s">
        <v>425</v>
      </c>
      <c r="C34" s="296"/>
      <c r="D34" s="297"/>
      <c r="E34" s="298" t="s">
        <v>422</v>
      </c>
      <c r="F34" s="298"/>
      <c r="G34" s="297"/>
      <c r="H34" s="298" t="s">
        <v>436</v>
      </c>
      <c r="I34" s="298"/>
      <c r="J34" s="298"/>
      <c r="K34" s="298"/>
      <c r="L34" s="297"/>
      <c r="M34" s="297"/>
      <c r="N34" s="297"/>
      <c r="O34" s="297"/>
      <c r="P34" s="297"/>
      <c r="Q34" s="297"/>
      <c r="R34" s="297"/>
      <c r="S34" s="297"/>
      <c r="T34" s="297"/>
      <c r="U34" s="296"/>
      <c r="V34" s="219"/>
      <c r="W34" s="220"/>
      <c r="X34" s="219"/>
    </row>
    <row r="35" spans="1:24" ht="16.5" customHeight="1">
      <c r="A35" s="295"/>
      <c r="B35" s="325" t="s">
        <v>46</v>
      </c>
      <c r="C35" s="42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219"/>
      <c r="W35" s="220"/>
      <c r="X35" s="219"/>
    </row>
    <row r="36" spans="1:24" ht="16.5" customHeight="1">
      <c r="A36" s="295"/>
      <c r="B36" s="325" t="s">
        <v>473</v>
      </c>
      <c r="C36" s="295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5"/>
      <c r="V36" s="219"/>
      <c r="W36" s="220"/>
      <c r="X36" s="219"/>
    </row>
    <row r="37" spans="1:24" ht="16.5" customHeight="1" thickBot="1">
      <c r="A37" s="295"/>
      <c r="B37" s="20" t="s">
        <v>433</v>
      </c>
      <c r="C37" s="316"/>
      <c r="D37" s="40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5"/>
      <c r="V37" s="219"/>
      <c r="W37" s="220"/>
      <c r="X37" s="219"/>
    </row>
    <row r="38" spans="1:24" ht="16.5" customHeight="1" thickBot="1">
      <c r="A38" s="465" t="s">
        <v>411</v>
      </c>
      <c r="B38" s="467" t="s">
        <v>11</v>
      </c>
      <c r="C38" s="236" t="s">
        <v>12</v>
      </c>
      <c r="D38" s="475" t="s">
        <v>15</v>
      </c>
      <c r="E38" s="478"/>
      <c r="F38" s="479"/>
      <c r="G38" s="455" t="s">
        <v>16</v>
      </c>
      <c r="H38" s="475" t="s">
        <v>389</v>
      </c>
      <c r="I38" s="476"/>
      <c r="J38" s="476"/>
      <c r="K38" s="476"/>
      <c r="L38" s="476"/>
      <c r="M38" s="476"/>
      <c r="N38" s="476"/>
      <c r="O38" s="477"/>
      <c r="P38" s="475" t="s">
        <v>382</v>
      </c>
      <c r="Q38" s="478"/>
      <c r="R38" s="476"/>
      <c r="S38" s="476"/>
      <c r="T38" s="477"/>
      <c r="U38" s="360"/>
      <c r="V38" s="219"/>
      <c r="W38" s="220"/>
      <c r="X38" s="219"/>
    </row>
    <row r="39" spans="1:24" ht="33" customHeight="1" thickBot="1">
      <c r="A39" s="466"/>
      <c r="B39" s="468"/>
      <c r="C39" s="456" t="s">
        <v>17</v>
      </c>
      <c r="D39" s="98" t="s">
        <v>18</v>
      </c>
      <c r="E39" s="98" t="s">
        <v>19</v>
      </c>
      <c r="F39" s="98" t="s">
        <v>20</v>
      </c>
      <c r="G39" s="457" t="s">
        <v>21</v>
      </c>
      <c r="H39" s="98" t="s">
        <v>416</v>
      </c>
      <c r="I39" s="98" t="s">
        <v>383</v>
      </c>
      <c r="J39" s="98" t="s">
        <v>384</v>
      </c>
      <c r="K39" s="98" t="s">
        <v>385</v>
      </c>
      <c r="L39" s="98" t="s">
        <v>386</v>
      </c>
      <c r="M39" s="98" t="s">
        <v>418</v>
      </c>
      <c r="N39" s="98" t="s">
        <v>419</v>
      </c>
      <c r="O39" s="98" t="s">
        <v>420</v>
      </c>
      <c r="P39" s="98" t="s">
        <v>387</v>
      </c>
      <c r="Q39" s="98" t="s">
        <v>414</v>
      </c>
      <c r="R39" s="98" t="s">
        <v>388</v>
      </c>
      <c r="S39" s="98" t="s">
        <v>417</v>
      </c>
      <c r="T39" s="98" t="s">
        <v>415</v>
      </c>
      <c r="U39" s="57"/>
      <c r="V39" s="219"/>
      <c r="W39" s="220"/>
      <c r="X39" s="219"/>
    </row>
    <row r="40" spans="1:24" ht="16.5" customHeight="1" thickBot="1">
      <c r="A40" s="299"/>
      <c r="B40" s="300" t="s">
        <v>22</v>
      </c>
      <c r="C40" s="301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3"/>
      <c r="U40" s="323"/>
      <c r="V40" s="219"/>
      <c r="W40" s="220"/>
      <c r="X40" s="219"/>
    </row>
    <row r="41" spans="1:24" ht="37.5" customHeight="1">
      <c r="A41" s="458" t="s">
        <v>474</v>
      </c>
      <c r="B41" s="319" t="s">
        <v>475</v>
      </c>
      <c r="C41" s="117">
        <v>60</v>
      </c>
      <c r="D41" s="118">
        <v>0.55</v>
      </c>
      <c r="E41" s="106">
        <v>0.1</v>
      </c>
      <c r="F41" s="106">
        <v>3.8</v>
      </c>
      <c r="G41" s="118">
        <v>12</v>
      </c>
      <c r="H41" s="118">
        <v>145</v>
      </c>
      <c r="I41" s="118">
        <v>5.5</v>
      </c>
      <c r="J41" s="118">
        <v>10.5</v>
      </c>
      <c r="K41" s="118">
        <v>3.5</v>
      </c>
      <c r="L41" s="118">
        <v>0.15</v>
      </c>
      <c r="M41" s="118">
        <v>0.4</v>
      </c>
      <c r="N41" s="118">
        <v>0.2</v>
      </c>
      <c r="O41" s="118">
        <v>10</v>
      </c>
      <c r="P41" s="118">
        <v>0.04</v>
      </c>
      <c r="Q41" s="118">
        <v>0.02</v>
      </c>
      <c r="R41" s="118">
        <v>15</v>
      </c>
      <c r="S41" s="118">
        <v>66.5</v>
      </c>
      <c r="T41" s="118">
        <v>0</v>
      </c>
      <c r="U41" s="361"/>
      <c r="V41" s="219"/>
      <c r="W41" s="220"/>
      <c r="X41" s="219"/>
    </row>
    <row r="42" spans="1:24" ht="24.75" customHeight="1">
      <c r="A42" s="351" t="s">
        <v>399</v>
      </c>
      <c r="B42" s="342" t="s">
        <v>353</v>
      </c>
      <c r="C42" s="117">
        <v>200</v>
      </c>
      <c r="D42" s="118">
        <v>19.24</v>
      </c>
      <c r="E42" s="106">
        <v>20.68</v>
      </c>
      <c r="F42" s="106">
        <v>40.5</v>
      </c>
      <c r="G42" s="118">
        <v>416.88</v>
      </c>
      <c r="H42" s="118">
        <v>670</v>
      </c>
      <c r="I42" s="106">
        <v>30.09</v>
      </c>
      <c r="J42" s="106">
        <v>58</v>
      </c>
      <c r="K42" s="373">
        <v>298</v>
      </c>
      <c r="L42" s="106">
        <v>4.3</v>
      </c>
      <c r="M42" s="106">
        <v>6.34</v>
      </c>
      <c r="N42" s="106">
        <v>0.24</v>
      </c>
      <c r="O42" s="106">
        <v>55.44</v>
      </c>
      <c r="P42" s="106">
        <v>0.2</v>
      </c>
      <c r="Q42" s="106">
        <v>0.12</v>
      </c>
      <c r="R42" s="106">
        <v>22</v>
      </c>
      <c r="S42" s="106">
        <v>1.8</v>
      </c>
      <c r="T42" s="106">
        <v>0</v>
      </c>
      <c r="U42" s="306"/>
      <c r="V42" s="219"/>
      <c r="W42" s="220"/>
      <c r="X42" s="219"/>
    </row>
    <row r="43" spans="1:24" ht="23.25" customHeight="1">
      <c r="A43" s="178" t="s">
        <v>375</v>
      </c>
      <c r="B43" s="342" t="s">
        <v>437</v>
      </c>
      <c r="C43" s="112">
        <v>200</v>
      </c>
      <c r="D43" s="106">
        <v>0.4</v>
      </c>
      <c r="E43" s="106">
        <v>0.1</v>
      </c>
      <c r="F43" s="106">
        <v>22</v>
      </c>
      <c r="G43" s="111">
        <v>77</v>
      </c>
      <c r="H43" s="111">
        <v>8</v>
      </c>
      <c r="I43" s="106">
        <v>10</v>
      </c>
      <c r="J43" s="106">
        <v>6</v>
      </c>
      <c r="K43" s="106">
        <v>9</v>
      </c>
      <c r="L43" s="106">
        <v>1.1</v>
      </c>
      <c r="M43" s="106">
        <v>0.05</v>
      </c>
      <c r="N43" s="106">
        <v>0.04</v>
      </c>
      <c r="O43" s="106">
        <v>0.52</v>
      </c>
      <c r="P43" s="106">
        <v>0.01</v>
      </c>
      <c r="Q43" s="379">
        <v>0.002</v>
      </c>
      <c r="R43" s="106">
        <v>70</v>
      </c>
      <c r="S43" s="106">
        <v>7.5</v>
      </c>
      <c r="T43" s="106">
        <v>0</v>
      </c>
      <c r="U43" s="310"/>
      <c r="V43" s="219"/>
      <c r="W43" s="220"/>
      <c r="X43" s="219"/>
    </row>
    <row r="44" spans="1:24" ht="23.25" customHeight="1">
      <c r="A44" s="351" t="s">
        <v>406</v>
      </c>
      <c r="B44" s="343" t="s">
        <v>438</v>
      </c>
      <c r="C44" s="159">
        <v>40</v>
      </c>
      <c r="D44" s="106">
        <v>1.16</v>
      </c>
      <c r="E44" s="106">
        <v>0.23</v>
      </c>
      <c r="F44" s="106">
        <v>16.4</v>
      </c>
      <c r="G44" s="106">
        <v>65.6</v>
      </c>
      <c r="H44" s="106">
        <v>23</v>
      </c>
      <c r="I44" s="106">
        <v>7.25</v>
      </c>
      <c r="J44" s="106">
        <v>37.5</v>
      </c>
      <c r="K44" s="106">
        <v>11.75</v>
      </c>
      <c r="L44" s="106">
        <v>0.95</v>
      </c>
      <c r="M44" s="106">
        <v>0.5</v>
      </c>
      <c r="N44" s="106">
        <v>1.5</v>
      </c>
      <c r="O44" s="106">
        <v>3.63</v>
      </c>
      <c r="P44" s="106">
        <v>0.04</v>
      </c>
      <c r="Q44" s="106">
        <v>0.01</v>
      </c>
      <c r="R44" s="106">
        <v>0</v>
      </c>
      <c r="S44" s="106">
        <v>0</v>
      </c>
      <c r="T44" s="106">
        <v>0.35</v>
      </c>
      <c r="U44" s="314"/>
      <c r="V44" s="219"/>
      <c r="W44" s="220"/>
      <c r="X44" s="219"/>
    </row>
    <row r="45" spans="1:24" ht="18" customHeight="1" thickBot="1">
      <c r="A45" s="317"/>
      <c r="B45" s="344" t="s">
        <v>226</v>
      </c>
      <c r="C45" s="123">
        <f>SUM(C41:C44)</f>
        <v>500</v>
      </c>
      <c r="D45" s="123">
        <f>SUM(D41:D44)</f>
        <v>21.349999999999998</v>
      </c>
      <c r="E45" s="123">
        <f>SUM(E41:E44)</f>
        <v>21.110000000000003</v>
      </c>
      <c r="F45" s="123">
        <f>SUM(F41:F44)</f>
        <v>82.69999999999999</v>
      </c>
      <c r="G45" s="123">
        <f>SUM(G41:G44)</f>
        <v>571.48</v>
      </c>
      <c r="H45" s="333">
        <f aca="true" t="shared" si="0" ref="H45:T45">SUM(H41:H44)</f>
        <v>846</v>
      </c>
      <c r="I45" s="333">
        <f t="shared" si="0"/>
        <v>52.84</v>
      </c>
      <c r="J45" s="333">
        <f t="shared" si="0"/>
        <v>112</v>
      </c>
      <c r="K45" s="333">
        <f t="shared" si="0"/>
        <v>322.25</v>
      </c>
      <c r="L45" s="333">
        <f t="shared" si="0"/>
        <v>6.500000000000001</v>
      </c>
      <c r="M45" s="332">
        <f t="shared" si="0"/>
        <v>7.29</v>
      </c>
      <c r="N45" s="332">
        <f t="shared" si="0"/>
        <v>1.98</v>
      </c>
      <c r="O45" s="333">
        <f t="shared" si="0"/>
        <v>69.58999999999999</v>
      </c>
      <c r="P45" s="333">
        <f t="shared" si="0"/>
        <v>0.29</v>
      </c>
      <c r="Q45" s="332">
        <f t="shared" si="0"/>
        <v>0.152</v>
      </c>
      <c r="R45" s="333">
        <f t="shared" si="0"/>
        <v>107</v>
      </c>
      <c r="S45" s="332">
        <f t="shared" si="0"/>
        <v>75.8</v>
      </c>
      <c r="T45" s="332">
        <f t="shared" si="0"/>
        <v>0.35</v>
      </c>
      <c r="U45" s="77"/>
      <c r="V45" s="219"/>
      <c r="W45" s="220"/>
      <c r="X45" s="219"/>
    </row>
    <row r="46" spans="1:24" ht="37.5" customHeight="1" thickBot="1">
      <c r="A46" s="316"/>
      <c r="B46" s="316"/>
      <c r="C46" s="406"/>
      <c r="D46" s="77"/>
      <c r="E46" s="298" t="s">
        <v>423</v>
      </c>
      <c r="F46" s="298"/>
      <c r="G46" s="77"/>
      <c r="H46" s="407"/>
      <c r="I46" s="77"/>
      <c r="J46" s="407"/>
      <c r="K46" s="407"/>
      <c r="L46" s="77"/>
      <c r="M46" s="77"/>
      <c r="N46" s="77"/>
      <c r="O46" s="407"/>
      <c r="P46" s="77"/>
      <c r="Q46" s="77"/>
      <c r="R46" s="407"/>
      <c r="S46" s="77"/>
      <c r="T46" s="77"/>
      <c r="U46" s="77"/>
      <c r="V46" s="219"/>
      <c r="W46" s="220"/>
      <c r="X46" s="219"/>
    </row>
    <row r="47" spans="1:24" ht="18" customHeight="1" thickBot="1">
      <c r="A47" s="465" t="s">
        <v>411</v>
      </c>
      <c r="B47" s="467" t="s">
        <v>11</v>
      </c>
      <c r="C47" s="236" t="s">
        <v>12</v>
      </c>
      <c r="D47" s="475" t="s">
        <v>15</v>
      </c>
      <c r="E47" s="478"/>
      <c r="F47" s="479"/>
      <c r="G47" s="455" t="s">
        <v>16</v>
      </c>
      <c r="H47" s="475" t="s">
        <v>389</v>
      </c>
      <c r="I47" s="476"/>
      <c r="J47" s="476"/>
      <c r="K47" s="476"/>
      <c r="L47" s="476"/>
      <c r="M47" s="476"/>
      <c r="N47" s="476"/>
      <c r="O47" s="477"/>
      <c r="P47" s="475" t="s">
        <v>382</v>
      </c>
      <c r="Q47" s="478"/>
      <c r="R47" s="476"/>
      <c r="S47" s="476"/>
      <c r="T47" s="477"/>
      <c r="U47" s="77"/>
      <c r="V47" s="219"/>
      <c r="W47" s="220"/>
      <c r="X47" s="219"/>
    </row>
    <row r="48" spans="1:24" ht="35.25" customHeight="1" thickBot="1">
      <c r="A48" s="466"/>
      <c r="B48" s="468"/>
      <c r="C48" s="456" t="s">
        <v>17</v>
      </c>
      <c r="D48" s="98" t="s">
        <v>18</v>
      </c>
      <c r="E48" s="98" t="s">
        <v>19</v>
      </c>
      <c r="F48" s="98" t="s">
        <v>20</v>
      </c>
      <c r="G48" s="457" t="s">
        <v>21</v>
      </c>
      <c r="H48" s="98" t="s">
        <v>416</v>
      </c>
      <c r="I48" s="98" t="s">
        <v>383</v>
      </c>
      <c r="J48" s="98" t="s">
        <v>384</v>
      </c>
      <c r="K48" s="98" t="s">
        <v>385</v>
      </c>
      <c r="L48" s="98" t="s">
        <v>386</v>
      </c>
      <c r="M48" s="98" t="s">
        <v>418</v>
      </c>
      <c r="N48" s="98" t="s">
        <v>419</v>
      </c>
      <c r="O48" s="98" t="s">
        <v>420</v>
      </c>
      <c r="P48" s="98" t="s">
        <v>387</v>
      </c>
      <c r="Q48" s="98" t="s">
        <v>414</v>
      </c>
      <c r="R48" s="98" t="s">
        <v>388</v>
      </c>
      <c r="S48" s="98" t="s">
        <v>417</v>
      </c>
      <c r="T48" s="98" t="s">
        <v>415</v>
      </c>
      <c r="U48" s="77"/>
      <c r="V48" s="219"/>
      <c r="W48" s="220"/>
      <c r="X48" s="219"/>
    </row>
    <row r="49" spans="1:24" ht="18" customHeight="1" thickBot="1">
      <c r="A49" s="299"/>
      <c r="B49" s="300" t="s">
        <v>22</v>
      </c>
      <c r="C49" s="301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3"/>
      <c r="U49" s="77"/>
      <c r="V49" s="219"/>
      <c r="W49" s="220"/>
      <c r="X49" s="219"/>
    </row>
    <row r="50" spans="1:24" ht="30" customHeight="1">
      <c r="A50" s="461" t="s">
        <v>404</v>
      </c>
      <c r="B50" s="462" t="s">
        <v>405</v>
      </c>
      <c r="C50" s="463">
        <v>60</v>
      </c>
      <c r="D50" s="168">
        <v>0.72</v>
      </c>
      <c r="E50" s="168">
        <v>2.82</v>
      </c>
      <c r="F50" s="168">
        <v>4.62</v>
      </c>
      <c r="G50" s="168">
        <v>46.8</v>
      </c>
      <c r="H50" s="130">
        <v>197</v>
      </c>
      <c r="I50" s="106">
        <v>11.5</v>
      </c>
      <c r="J50" s="106">
        <v>21</v>
      </c>
      <c r="K50" s="106">
        <v>7</v>
      </c>
      <c r="L50" s="106">
        <v>0.3</v>
      </c>
      <c r="M50" s="106">
        <v>0.02</v>
      </c>
      <c r="N50" s="106">
        <v>0.18</v>
      </c>
      <c r="O50" s="106">
        <v>3.8</v>
      </c>
      <c r="P50" s="106">
        <v>0.02</v>
      </c>
      <c r="Q50" s="106">
        <v>0.024</v>
      </c>
      <c r="R50" s="106">
        <v>5</v>
      </c>
      <c r="S50" s="106">
        <v>3</v>
      </c>
      <c r="T50" s="106">
        <v>0</v>
      </c>
      <c r="U50" s="77"/>
      <c r="V50" s="219"/>
      <c r="W50" s="220"/>
      <c r="X50" s="219"/>
    </row>
    <row r="51" spans="1:24" ht="39" customHeight="1">
      <c r="A51" s="116" t="s">
        <v>439</v>
      </c>
      <c r="B51" s="432" t="s">
        <v>440</v>
      </c>
      <c r="C51" s="388">
        <v>130</v>
      </c>
      <c r="D51" s="355">
        <v>14</v>
      </c>
      <c r="E51" s="355">
        <v>12</v>
      </c>
      <c r="F51" s="355">
        <v>7.3</v>
      </c>
      <c r="G51" s="118">
        <v>177.5</v>
      </c>
      <c r="H51" s="118">
        <v>182</v>
      </c>
      <c r="I51" s="118">
        <v>38</v>
      </c>
      <c r="J51" s="118">
        <v>22</v>
      </c>
      <c r="K51" s="118">
        <v>95</v>
      </c>
      <c r="L51" s="118">
        <v>2</v>
      </c>
      <c r="M51" s="118">
        <v>10.8</v>
      </c>
      <c r="N51" s="118">
        <v>1.54</v>
      </c>
      <c r="O51" s="118">
        <v>27.6</v>
      </c>
      <c r="P51" s="118">
        <v>0.04</v>
      </c>
      <c r="Q51" s="118">
        <v>0.1</v>
      </c>
      <c r="R51" s="118">
        <v>15</v>
      </c>
      <c r="S51" s="118">
        <v>0</v>
      </c>
      <c r="T51" s="118">
        <v>0</v>
      </c>
      <c r="U51" s="77"/>
      <c r="V51" s="219"/>
      <c r="W51" s="220"/>
      <c r="X51" s="219"/>
    </row>
    <row r="52" spans="1:24" ht="18" customHeight="1">
      <c r="A52" s="116" t="s">
        <v>369</v>
      </c>
      <c r="B52" s="312" t="s">
        <v>28</v>
      </c>
      <c r="C52" s="159">
        <v>150</v>
      </c>
      <c r="D52" s="106">
        <v>4.59</v>
      </c>
      <c r="E52" s="106">
        <v>6.92</v>
      </c>
      <c r="F52" s="106">
        <v>25.88</v>
      </c>
      <c r="G52" s="118">
        <v>234.52</v>
      </c>
      <c r="H52" s="118">
        <v>165</v>
      </c>
      <c r="I52" s="106">
        <v>23</v>
      </c>
      <c r="J52" s="373">
        <v>126</v>
      </c>
      <c r="K52" s="373">
        <v>211</v>
      </c>
      <c r="L52" s="106">
        <v>3.4</v>
      </c>
      <c r="M52" s="106">
        <v>1.45</v>
      </c>
      <c r="N52" s="106">
        <v>2.5</v>
      </c>
      <c r="O52" s="106">
        <v>10.12</v>
      </c>
      <c r="P52" s="106">
        <v>0.2</v>
      </c>
      <c r="Q52" s="106">
        <v>0.08</v>
      </c>
      <c r="R52" s="106">
        <v>1</v>
      </c>
      <c r="S52" s="106">
        <v>0.6</v>
      </c>
      <c r="T52" s="106">
        <v>0</v>
      </c>
      <c r="U52" s="77"/>
      <c r="V52" s="219"/>
      <c r="W52" s="220"/>
      <c r="X52" s="219"/>
    </row>
    <row r="53" spans="1:24" ht="18" customHeight="1">
      <c r="A53" s="116" t="s">
        <v>343</v>
      </c>
      <c r="B53" s="342" t="s">
        <v>427</v>
      </c>
      <c r="C53" s="119">
        <v>200</v>
      </c>
      <c r="D53" s="106">
        <v>1.5</v>
      </c>
      <c r="E53" s="106">
        <v>1.3</v>
      </c>
      <c r="F53" s="106">
        <v>22.4</v>
      </c>
      <c r="G53" s="118">
        <v>107</v>
      </c>
      <c r="H53" s="118">
        <v>168</v>
      </c>
      <c r="I53" s="106">
        <v>161</v>
      </c>
      <c r="J53" s="106">
        <v>7</v>
      </c>
      <c r="K53" s="373">
        <v>145</v>
      </c>
      <c r="L53" s="106">
        <v>1</v>
      </c>
      <c r="M53" s="106">
        <v>9</v>
      </c>
      <c r="N53" s="106">
        <v>2</v>
      </c>
      <c r="O53" s="106">
        <v>20</v>
      </c>
      <c r="P53" s="106">
        <v>0.02</v>
      </c>
      <c r="Q53" s="106">
        <v>0.15</v>
      </c>
      <c r="R53" s="106">
        <v>1</v>
      </c>
      <c r="S53" s="106">
        <v>23.8</v>
      </c>
      <c r="T53" s="106">
        <v>0</v>
      </c>
      <c r="U53" s="77"/>
      <c r="V53" s="219"/>
      <c r="W53" s="220"/>
      <c r="X53" s="219"/>
    </row>
    <row r="54" spans="1:24" ht="18" customHeight="1">
      <c r="A54" s="351" t="s">
        <v>406</v>
      </c>
      <c r="B54" s="291" t="s">
        <v>438</v>
      </c>
      <c r="C54" s="159">
        <v>25</v>
      </c>
      <c r="D54" s="106">
        <v>1.16</v>
      </c>
      <c r="E54" s="106">
        <v>0.23</v>
      </c>
      <c r="F54" s="106">
        <v>10.25</v>
      </c>
      <c r="G54" s="106">
        <v>41</v>
      </c>
      <c r="H54" s="106">
        <v>23</v>
      </c>
      <c r="I54" s="106">
        <v>7.25</v>
      </c>
      <c r="J54" s="106">
        <v>37.5</v>
      </c>
      <c r="K54" s="106">
        <v>11.75</v>
      </c>
      <c r="L54" s="106">
        <v>0.95</v>
      </c>
      <c r="M54" s="106">
        <v>0.5</v>
      </c>
      <c r="N54" s="106">
        <v>1.5</v>
      </c>
      <c r="O54" s="106">
        <v>3.63</v>
      </c>
      <c r="P54" s="106">
        <v>0.04</v>
      </c>
      <c r="Q54" s="106">
        <v>0.01</v>
      </c>
      <c r="R54" s="106">
        <v>0</v>
      </c>
      <c r="S54" s="106">
        <v>0</v>
      </c>
      <c r="T54" s="106">
        <v>0.35</v>
      </c>
      <c r="U54" s="77"/>
      <c r="V54" s="219"/>
      <c r="W54" s="220"/>
      <c r="X54" s="219"/>
    </row>
    <row r="55" spans="1:24" ht="25.5" customHeight="1" thickBot="1">
      <c r="A55" s="352" t="s">
        <v>408</v>
      </c>
      <c r="B55" s="318" t="s">
        <v>407</v>
      </c>
      <c r="C55" s="374">
        <v>100</v>
      </c>
      <c r="D55" s="376">
        <v>0.7</v>
      </c>
      <c r="E55" s="376">
        <v>0.1</v>
      </c>
      <c r="F55" s="376">
        <v>7.5</v>
      </c>
      <c r="G55" s="375">
        <v>38</v>
      </c>
      <c r="H55" s="375">
        <v>155</v>
      </c>
      <c r="I55" s="376">
        <v>30</v>
      </c>
      <c r="J55" s="376">
        <v>11</v>
      </c>
      <c r="K55" s="377">
        <v>17</v>
      </c>
      <c r="L55" s="376">
        <v>0.1</v>
      </c>
      <c r="M55" s="376">
        <v>0.3</v>
      </c>
      <c r="N55" s="376">
        <v>0.1</v>
      </c>
      <c r="O55" s="378">
        <v>150</v>
      </c>
      <c r="P55" s="376">
        <v>0.04</v>
      </c>
      <c r="Q55" s="376">
        <v>0.03</v>
      </c>
      <c r="R55" s="376">
        <v>35</v>
      </c>
      <c r="S55" s="376">
        <v>0</v>
      </c>
      <c r="T55" s="375">
        <v>0.2</v>
      </c>
      <c r="U55" s="77"/>
      <c r="V55" s="219"/>
      <c r="W55" s="220"/>
      <c r="X55" s="219"/>
    </row>
    <row r="56" spans="1:24" ht="18" customHeight="1" thickBot="1">
      <c r="A56" s="317"/>
      <c r="B56" s="344" t="s">
        <v>226</v>
      </c>
      <c r="C56" s="123">
        <f>SUM(C50:C55)</f>
        <v>665</v>
      </c>
      <c r="D56" s="334">
        <f aca="true" t="shared" si="1" ref="D56:T56">SUM(D50:D55)</f>
        <v>22.67</v>
      </c>
      <c r="E56" s="334">
        <f t="shared" si="1"/>
        <v>23.370000000000005</v>
      </c>
      <c r="F56" s="334">
        <f t="shared" si="1"/>
        <v>77.94999999999999</v>
      </c>
      <c r="G56" s="334">
        <f t="shared" si="1"/>
        <v>644.82</v>
      </c>
      <c r="H56" s="451">
        <f t="shared" si="1"/>
        <v>890</v>
      </c>
      <c r="I56" s="334">
        <f t="shared" si="1"/>
        <v>270.75</v>
      </c>
      <c r="J56" s="334">
        <f t="shared" si="1"/>
        <v>224.5</v>
      </c>
      <c r="K56" s="334">
        <f t="shared" si="1"/>
        <v>486.75</v>
      </c>
      <c r="L56" s="334">
        <f t="shared" si="1"/>
        <v>7.749999999999999</v>
      </c>
      <c r="M56" s="334">
        <f t="shared" si="1"/>
        <v>22.07</v>
      </c>
      <c r="N56" s="334">
        <f t="shared" si="1"/>
        <v>7.819999999999999</v>
      </c>
      <c r="O56" s="451">
        <f t="shared" si="1"/>
        <v>215.15</v>
      </c>
      <c r="P56" s="334">
        <f t="shared" si="1"/>
        <v>0.36</v>
      </c>
      <c r="Q56" s="334">
        <f t="shared" si="1"/>
        <v>0.394</v>
      </c>
      <c r="R56" s="334">
        <f t="shared" si="1"/>
        <v>57</v>
      </c>
      <c r="S56" s="334">
        <f t="shared" si="1"/>
        <v>27.400000000000002</v>
      </c>
      <c r="T56" s="334">
        <f t="shared" si="1"/>
        <v>0.55</v>
      </c>
      <c r="U56" s="77"/>
      <c r="V56" s="219"/>
      <c r="W56" s="220"/>
      <c r="X56" s="219"/>
    </row>
    <row r="57" spans="1:24" ht="18" customHeight="1">
      <c r="A57" s="316"/>
      <c r="B57" s="316"/>
      <c r="C57" s="406"/>
      <c r="D57" s="77"/>
      <c r="E57" s="77"/>
      <c r="F57" s="77"/>
      <c r="G57" s="77"/>
      <c r="H57" s="434"/>
      <c r="I57" s="434"/>
      <c r="J57" s="407"/>
      <c r="K57" s="407"/>
      <c r="L57" s="77"/>
      <c r="M57" s="407"/>
      <c r="N57" s="77"/>
      <c r="O57" s="434"/>
      <c r="P57" s="77"/>
      <c r="Q57" s="77"/>
      <c r="R57" s="407"/>
      <c r="S57" s="77"/>
      <c r="T57" s="77"/>
      <c r="U57" s="77"/>
      <c r="V57" s="219"/>
      <c r="W57" s="220"/>
      <c r="X57" s="219"/>
    </row>
    <row r="58" spans="1:24" ht="18" customHeight="1">
      <c r="A58" s="316"/>
      <c r="B58" s="316"/>
      <c r="C58" s="406"/>
      <c r="D58" s="77"/>
      <c r="E58" s="77"/>
      <c r="F58" s="77"/>
      <c r="G58" s="77"/>
      <c r="H58" s="434"/>
      <c r="I58" s="434"/>
      <c r="J58" s="407"/>
      <c r="K58" s="407"/>
      <c r="L58" s="77"/>
      <c r="M58" s="407"/>
      <c r="N58" s="77"/>
      <c r="O58" s="434"/>
      <c r="P58" s="77"/>
      <c r="Q58" s="77"/>
      <c r="R58" s="407"/>
      <c r="S58" s="77"/>
      <c r="T58" s="77"/>
      <c r="U58" s="77"/>
      <c r="V58" s="219"/>
      <c r="W58" s="220"/>
      <c r="X58" s="219"/>
    </row>
    <row r="59" spans="1:24" ht="18" customHeight="1">
      <c r="A59" s="316"/>
      <c r="B59" s="316"/>
      <c r="C59" s="406"/>
      <c r="D59" s="77"/>
      <c r="E59" s="77"/>
      <c r="F59" s="77"/>
      <c r="G59" s="77"/>
      <c r="H59" s="434"/>
      <c r="I59" s="434"/>
      <c r="J59" s="407"/>
      <c r="K59" s="407"/>
      <c r="L59" s="77"/>
      <c r="M59" s="407"/>
      <c r="N59" s="77"/>
      <c r="O59" s="434"/>
      <c r="P59" s="77"/>
      <c r="Q59" s="77"/>
      <c r="R59" s="407"/>
      <c r="S59" s="77"/>
      <c r="T59" s="77"/>
      <c r="U59" s="77"/>
      <c r="V59" s="219"/>
      <c r="W59" s="220"/>
      <c r="X59" s="219"/>
    </row>
    <row r="60" spans="1:24" ht="18" customHeight="1">
      <c r="A60" s="316"/>
      <c r="B60" s="316"/>
      <c r="C60" s="406"/>
      <c r="D60" s="77"/>
      <c r="E60" s="77"/>
      <c r="F60" s="77"/>
      <c r="G60" s="77"/>
      <c r="H60" s="434"/>
      <c r="I60" s="434"/>
      <c r="J60" s="407"/>
      <c r="K60" s="407"/>
      <c r="L60" s="77"/>
      <c r="M60" s="407"/>
      <c r="N60" s="77"/>
      <c r="O60" s="434"/>
      <c r="P60" s="77"/>
      <c r="Q60" s="77"/>
      <c r="R60" s="407"/>
      <c r="S60" s="77"/>
      <c r="T60" s="77"/>
      <c r="U60" s="77"/>
      <c r="V60" s="219"/>
      <c r="W60" s="220"/>
      <c r="X60" s="219"/>
    </row>
    <row r="61" spans="1:24" ht="18" customHeight="1">
      <c r="A61" s="316"/>
      <c r="B61" s="316"/>
      <c r="C61" s="406"/>
      <c r="D61" s="77"/>
      <c r="E61" s="77"/>
      <c r="F61" s="77"/>
      <c r="G61" s="77"/>
      <c r="H61" s="434"/>
      <c r="I61" s="434"/>
      <c r="J61" s="407"/>
      <c r="K61" s="407"/>
      <c r="L61" s="77"/>
      <c r="M61" s="407"/>
      <c r="N61" s="77"/>
      <c r="O61" s="434"/>
      <c r="P61" s="77"/>
      <c r="Q61" s="77"/>
      <c r="R61" s="407"/>
      <c r="S61" s="77"/>
      <c r="T61" s="77"/>
      <c r="U61" s="77"/>
      <c r="V61" s="219"/>
      <c r="W61" s="220"/>
      <c r="X61" s="219"/>
    </row>
    <row r="62" spans="1:24" ht="18" customHeight="1">
      <c r="A62" s="316"/>
      <c r="B62" s="316"/>
      <c r="C62" s="406"/>
      <c r="D62" s="77"/>
      <c r="E62" s="77"/>
      <c r="F62" s="77"/>
      <c r="G62" s="77"/>
      <c r="H62" s="434"/>
      <c r="I62" s="434"/>
      <c r="J62" s="407"/>
      <c r="K62" s="407"/>
      <c r="L62" s="77"/>
      <c r="M62" s="407"/>
      <c r="N62" s="77"/>
      <c r="O62" s="434"/>
      <c r="P62" s="77"/>
      <c r="Q62" s="77"/>
      <c r="R62" s="407"/>
      <c r="S62" s="77"/>
      <c r="T62" s="77"/>
      <c r="U62" s="77"/>
      <c r="V62" s="219"/>
      <c r="W62" s="220"/>
      <c r="X62" s="219"/>
    </row>
    <row r="63" spans="1:24" ht="16.5" customHeight="1">
      <c r="A63" s="295"/>
      <c r="B63" s="325" t="s">
        <v>368</v>
      </c>
      <c r="C63" s="41"/>
      <c r="D63" s="40"/>
      <c r="E63" s="298" t="s">
        <v>422</v>
      </c>
      <c r="F63" s="298"/>
      <c r="G63" s="40"/>
      <c r="H63" s="298" t="s">
        <v>436</v>
      </c>
      <c r="I63" s="298"/>
      <c r="J63" s="298"/>
      <c r="K63" s="298"/>
      <c r="L63" s="40"/>
      <c r="M63" s="40"/>
      <c r="N63" s="40"/>
      <c r="O63" s="40"/>
      <c r="P63" s="40"/>
      <c r="Q63" s="40"/>
      <c r="R63" s="40"/>
      <c r="S63" s="40"/>
      <c r="T63" s="40"/>
      <c r="U63" s="41"/>
      <c r="V63" s="219"/>
      <c r="W63" s="220"/>
      <c r="X63" s="219"/>
    </row>
    <row r="64" spans="1:24" ht="16.5" customHeight="1">
      <c r="A64" s="295"/>
      <c r="B64" s="325" t="s">
        <v>46</v>
      </c>
      <c r="C64" s="41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1"/>
      <c r="V64" s="219"/>
      <c r="W64" s="220"/>
      <c r="X64" s="219"/>
    </row>
    <row r="65" spans="1:24" ht="16.5" customHeight="1">
      <c r="A65" s="295"/>
      <c r="B65" s="325" t="s">
        <v>473</v>
      </c>
      <c r="C65" s="41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1"/>
      <c r="V65" s="219"/>
      <c r="W65" s="220"/>
      <c r="X65" s="219"/>
    </row>
    <row r="66" spans="1:24" ht="16.5" customHeight="1" thickBot="1">
      <c r="A66" s="295"/>
      <c r="B66" s="20" t="s">
        <v>433</v>
      </c>
      <c r="C66" s="316"/>
      <c r="D66" s="40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5"/>
      <c r="V66" s="219"/>
      <c r="W66" s="220"/>
      <c r="X66" s="219"/>
    </row>
    <row r="67" spans="1:24" ht="16.5" customHeight="1" thickBot="1">
      <c r="A67" s="465" t="s">
        <v>411</v>
      </c>
      <c r="B67" s="467" t="s">
        <v>11</v>
      </c>
      <c r="C67" s="100" t="s">
        <v>12</v>
      </c>
      <c r="D67" s="469" t="s">
        <v>15</v>
      </c>
      <c r="E67" s="470"/>
      <c r="F67" s="471"/>
      <c r="G67" s="101" t="s">
        <v>16</v>
      </c>
      <c r="H67" s="469" t="s">
        <v>389</v>
      </c>
      <c r="I67" s="472"/>
      <c r="J67" s="472"/>
      <c r="K67" s="472"/>
      <c r="L67" s="472"/>
      <c r="M67" s="472"/>
      <c r="N67" s="472"/>
      <c r="O67" s="473"/>
      <c r="P67" s="469" t="s">
        <v>382</v>
      </c>
      <c r="Q67" s="470"/>
      <c r="R67" s="472"/>
      <c r="S67" s="472"/>
      <c r="T67" s="472"/>
      <c r="U67" s="57"/>
      <c r="V67" s="219"/>
      <c r="W67" s="220"/>
      <c r="X67" s="219"/>
    </row>
    <row r="68" spans="1:24" ht="35.25" customHeight="1" thickBot="1">
      <c r="A68" s="466"/>
      <c r="B68" s="468"/>
      <c r="C68" s="350" t="s">
        <v>17</v>
      </c>
      <c r="D68" s="103" t="s">
        <v>18</v>
      </c>
      <c r="E68" s="103" t="s">
        <v>19</v>
      </c>
      <c r="F68" s="103" t="s">
        <v>20</v>
      </c>
      <c r="G68" s="369" t="s">
        <v>21</v>
      </c>
      <c r="H68" s="367" t="s">
        <v>416</v>
      </c>
      <c r="I68" s="367" t="s">
        <v>383</v>
      </c>
      <c r="J68" s="367" t="s">
        <v>384</v>
      </c>
      <c r="K68" s="367" t="s">
        <v>385</v>
      </c>
      <c r="L68" s="367" t="s">
        <v>386</v>
      </c>
      <c r="M68" s="367" t="s">
        <v>418</v>
      </c>
      <c r="N68" s="368" t="s">
        <v>419</v>
      </c>
      <c r="O68" s="368" t="s">
        <v>420</v>
      </c>
      <c r="P68" s="103" t="s">
        <v>387</v>
      </c>
      <c r="Q68" s="103" t="s">
        <v>414</v>
      </c>
      <c r="R68" s="103" t="s">
        <v>388</v>
      </c>
      <c r="S68" s="103" t="s">
        <v>417</v>
      </c>
      <c r="T68" s="101" t="s">
        <v>415</v>
      </c>
      <c r="U68" s="57"/>
      <c r="V68" s="219"/>
      <c r="W68" s="220"/>
      <c r="X68" s="219"/>
    </row>
    <row r="69" spans="1:24" ht="16.5" customHeight="1" thickBot="1">
      <c r="A69" s="299"/>
      <c r="B69" s="300" t="s">
        <v>22</v>
      </c>
      <c r="C69" s="301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3"/>
      <c r="U69" s="323"/>
      <c r="V69" s="219"/>
      <c r="W69" s="220"/>
      <c r="X69" s="219"/>
    </row>
    <row r="70" spans="1:24" ht="27.75" customHeight="1">
      <c r="A70" s="459" t="s">
        <v>404</v>
      </c>
      <c r="B70" s="109" t="s">
        <v>358</v>
      </c>
      <c r="C70" s="105">
        <v>60</v>
      </c>
      <c r="D70" s="130">
        <v>0.55</v>
      </c>
      <c r="E70" s="130">
        <v>0.1</v>
      </c>
      <c r="F70" s="130">
        <v>3.8</v>
      </c>
      <c r="G70" s="130">
        <v>8</v>
      </c>
      <c r="H70" s="130">
        <v>98</v>
      </c>
      <c r="I70" s="130">
        <v>6.9</v>
      </c>
      <c r="J70" s="130">
        <v>7.2</v>
      </c>
      <c r="K70" s="130">
        <v>4.2</v>
      </c>
      <c r="L70" s="130">
        <v>0.18</v>
      </c>
      <c r="M70" s="130">
        <v>0.1</v>
      </c>
      <c r="N70" s="130">
        <v>0.1</v>
      </c>
      <c r="O70" s="130">
        <v>5</v>
      </c>
      <c r="P70" s="130">
        <v>0.01</v>
      </c>
      <c r="Q70" s="130">
        <v>0.01</v>
      </c>
      <c r="R70" s="130">
        <v>1.5</v>
      </c>
      <c r="S70" s="130">
        <v>0</v>
      </c>
      <c r="T70" s="130">
        <v>0</v>
      </c>
      <c r="U70" s="314"/>
      <c r="V70" s="219"/>
      <c r="W70" s="220"/>
      <c r="X70" s="219"/>
    </row>
    <row r="71" spans="1:24" ht="36" customHeight="1">
      <c r="A71" s="178" t="s">
        <v>392</v>
      </c>
      <c r="B71" s="292" t="s">
        <v>393</v>
      </c>
      <c r="C71" s="115">
        <v>100</v>
      </c>
      <c r="D71" s="118">
        <v>13.2</v>
      </c>
      <c r="E71" s="106">
        <v>13.7</v>
      </c>
      <c r="F71" s="106">
        <v>11.58</v>
      </c>
      <c r="G71" s="111">
        <v>225</v>
      </c>
      <c r="H71" s="111">
        <v>278</v>
      </c>
      <c r="I71" s="106">
        <v>177.2</v>
      </c>
      <c r="J71" s="106">
        <v>34</v>
      </c>
      <c r="K71" s="373">
        <v>266</v>
      </c>
      <c r="L71" s="106">
        <v>0.65</v>
      </c>
      <c r="M71" s="106">
        <v>44</v>
      </c>
      <c r="N71" s="106">
        <v>39</v>
      </c>
      <c r="O71" s="373">
        <v>378</v>
      </c>
      <c r="P71" s="106">
        <v>0.18</v>
      </c>
      <c r="Q71" s="106">
        <v>0.12</v>
      </c>
      <c r="R71" s="106">
        <v>0.83</v>
      </c>
      <c r="S71" s="106">
        <v>18</v>
      </c>
      <c r="T71" s="106">
        <v>0.01</v>
      </c>
      <c r="U71" s="310"/>
      <c r="V71" s="219"/>
      <c r="W71" s="220"/>
      <c r="X71" s="219"/>
    </row>
    <row r="72" spans="1:24" ht="35.25" customHeight="1">
      <c r="A72" s="178" t="s">
        <v>378</v>
      </c>
      <c r="B72" s="304" t="s">
        <v>395</v>
      </c>
      <c r="C72" s="460">
        <v>150</v>
      </c>
      <c r="D72" s="166">
        <v>3.59</v>
      </c>
      <c r="E72" s="355">
        <v>4.57</v>
      </c>
      <c r="F72" s="355">
        <v>33.63</v>
      </c>
      <c r="G72" s="380">
        <v>198.15</v>
      </c>
      <c r="H72" s="380">
        <v>41</v>
      </c>
      <c r="I72" s="355">
        <v>10</v>
      </c>
      <c r="J72" s="355">
        <v>26</v>
      </c>
      <c r="K72" s="355">
        <v>70</v>
      </c>
      <c r="L72" s="355">
        <v>0.8</v>
      </c>
      <c r="M72" s="355">
        <v>0.61</v>
      </c>
      <c r="N72" s="355">
        <v>6.6</v>
      </c>
      <c r="O72" s="355">
        <v>22</v>
      </c>
      <c r="P72" s="355">
        <v>0.04</v>
      </c>
      <c r="Q72" s="355">
        <v>0.015</v>
      </c>
      <c r="R72" s="355">
        <v>1</v>
      </c>
      <c r="S72" s="355">
        <v>0</v>
      </c>
      <c r="T72" s="355">
        <v>0.06</v>
      </c>
      <c r="U72" s="310"/>
      <c r="V72" s="219"/>
      <c r="W72" s="220"/>
      <c r="X72" s="219"/>
    </row>
    <row r="73" spans="1:24" ht="16.5" customHeight="1">
      <c r="A73" s="351" t="s">
        <v>406</v>
      </c>
      <c r="B73" s="294" t="s">
        <v>371</v>
      </c>
      <c r="C73" s="159">
        <v>25</v>
      </c>
      <c r="D73" s="106">
        <v>1.98</v>
      </c>
      <c r="E73" s="106">
        <v>0.2</v>
      </c>
      <c r="F73" s="106">
        <v>12.2</v>
      </c>
      <c r="G73" s="106">
        <v>58.5</v>
      </c>
      <c r="H73" s="106">
        <v>23.3</v>
      </c>
      <c r="I73" s="106">
        <v>10</v>
      </c>
      <c r="J73" s="106">
        <v>5</v>
      </c>
      <c r="K73" s="106">
        <v>5</v>
      </c>
      <c r="L73" s="106">
        <v>0.28</v>
      </c>
      <c r="M73" s="106">
        <v>0.8</v>
      </c>
      <c r="N73" s="106">
        <v>1.5</v>
      </c>
      <c r="O73" s="106">
        <v>3.63</v>
      </c>
      <c r="P73" s="106">
        <v>5</v>
      </c>
      <c r="Q73" s="106">
        <v>0.008</v>
      </c>
      <c r="R73" s="106">
        <v>1</v>
      </c>
      <c r="S73" s="106">
        <v>0</v>
      </c>
      <c r="T73" s="106">
        <v>0.55</v>
      </c>
      <c r="U73" s="314"/>
      <c r="V73" s="219"/>
      <c r="W73" s="220"/>
      <c r="X73" s="219"/>
    </row>
    <row r="74" spans="1:24" ht="21" customHeight="1">
      <c r="A74" s="381" t="s">
        <v>377</v>
      </c>
      <c r="B74" s="292" t="s">
        <v>376</v>
      </c>
      <c r="C74" s="112">
        <v>200</v>
      </c>
      <c r="D74" s="106">
        <v>0.3</v>
      </c>
      <c r="E74" s="106">
        <v>0</v>
      </c>
      <c r="F74" s="106">
        <v>9.5</v>
      </c>
      <c r="G74" s="111">
        <v>40</v>
      </c>
      <c r="H74" s="111">
        <v>10.8</v>
      </c>
      <c r="I74" s="106">
        <v>8</v>
      </c>
      <c r="J74" s="106">
        <v>5</v>
      </c>
      <c r="K74" s="106">
        <v>10</v>
      </c>
      <c r="L74" s="106">
        <v>1</v>
      </c>
      <c r="M74" s="106">
        <v>0</v>
      </c>
      <c r="N74" s="106">
        <v>0.02</v>
      </c>
      <c r="O74" s="106">
        <v>0.7</v>
      </c>
      <c r="P74" s="106">
        <v>0</v>
      </c>
      <c r="Q74" s="106">
        <v>0</v>
      </c>
      <c r="R74" s="106">
        <v>3</v>
      </c>
      <c r="S74" s="106">
        <v>0</v>
      </c>
      <c r="T74" s="106">
        <v>0</v>
      </c>
      <c r="U74" s="310"/>
      <c r="V74" s="219"/>
      <c r="W74" s="220"/>
      <c r="X74" s="219"/>
    </row>
    <row r="75" spans="1:24" ht="21" customHeight="1" thickBot="1">
      <c r="A75" s="273" t="s">
        <v>408</v>
      </c>
      <c r="B75" s="291" t="s">
        <v>397</v>
      </c>
      <c r="C75" s="159">
        <v>100</v>
      </c>
      <c r="D75" s="106">
        <v>0.2</v>
      </c>
      <c r="E75" s="106">
        <v>0.2</v>
      </c>
      <c r="F75" s="394">
        <v>9.5</v>
      </c>
      <c r="G75" s="106">
        <v>71</v>
      </c>
      <c r="H75" s="394">
        <v>278</v>
      </c>
      <c r="I75" s="106">
        <v>85</v>
      </c>
      <c r="J75" s="106">
        <v>32.5</v>
      </c>
      <c r="K75" s="394">
        <v>57.5</v>
      </c>
      <c r="L75" s="106">
        <v>0.01</v>
      </c>
      <c r="M75" s="394">
        <v>5</v>
      </c>
      <c r="N75" s="106">
        <v>1.25</v>
      </c>
      <c r="O75" s="394">
        <v>42.5</v>
      </c>
      <c r="P75" s="106">
        <v>0.1</v>
      </c>
      <c r="Q75" s="106">
        <v>0.075</v>
      </c>
      <c r="R75" s="394">
        <v>60</v>
      </c>
      <c r="S75" s="106">
        <v>16</v>
      </c>
      <c r="T75" s="106">
        <v>0</v>
      </c>
      <c r="U75" s="310"/>
      <c r="V75" s="219"/>
      <c r="W75" s="220"/>
      <c r="X75" s="219"/>
    </row>
    <row r="76" spans="1:24" ht="20.25" customHeight="1" thickBot="1">
      <c r="A76" s="321"/>
      <c r="B76" s="293" t="s">
        <v>226</v>
      </c>
      <c r="C76" s="345">
        <f>SUM(C70:C75)</f>
        <v>635</v>
      </c>
      <c r="D76" s="331">
        <f aca="true" t="shared" si="2" ref="D76:T76">SUM(D70:D75)</f>
        <v>19.82</v>
      </c>
      <c r="E76" s="331">
        <f t="shared" si="2"/>
        <v>18.769999999999996</v>
      </c>
      <c r="F76" s="331">
        <f t="shared" si="2"/>
        <v>80.21000000000001</v>
      </c>
      <c r="G76" s="331">
        <f t="shared" si="2"/>
        <v>600.65</v>
      </c>
      <c r="H76" s="335">
        <f t="shared" si="2"/>
        <v>729.1</v>
      </c>
      <c r="I76" s="335">
        <f t="shared" si="2"/>
        <v>297.1</v>
      </c>
      <c r="J76" s="335">
        <f t="shared" si="2"/>
        <v>109.7</v>
      </c>
      <c r="K76" s="335">
        <f t="shared" si="2"/>
        <v>412.7</v>
      </c>
      <c r="L76" s="331">
        <f t="shared" si="2"/>
        <v>2.92</v>
      </c>
      <c r="M76" s="335">
        <f t="shared" si="2"/>
        <v>50.51</v>
      </c>
      <c r="N76" s="331">
        <f t="shared" si="2"/>
        <v>48.470000000000006</v>
      </c>
      <c r="O76" s="370">
        <f t="shared" si="2"/>
        <v>451.83</v>
      </c>
      <c r="P76" s="331">
        <f t="shared" si="2"/>
        <v>5.33</v>
      </c>
      <c r="Q76" s="331">
        <f t="shared" si="2"/>
        <v>0.22800000000000004</v>
      </c>
      <c r="R76" s="331">
        <f t="shared" si="2"/>
        <v>67.33</v>
      </c>
      <c r="S76" s="331">
        <f t="shared" si="2"/>
        <v>34</v>
      </c>
      <c r="T76" s="331">
        <f t="shared" si="2"/>
        <v>0.62</v>
      </c>
      <c r="U76" s="339"/>
      <c r="V76" s="219"/>
      <c r="W76" s="220"/>
      <c r="X76" s="219"/>
    </row>
    <row r="77" spans="1:24" ht="16.5" customHeight="1" thickBot="1">
      <c r="A77" s="305"/>
      <c r="B77" s="316"/>
      <c r="C77" s="409"/>
      <c r="D77" s="362"/>
      <c r="E77" s="298" t="s">
        <v>423</v>
      </c>
      <c r="F77" s="298"/>
      <c r="G77" s="362"/>
      <c r="H77" s="362"/>
      <c r="I77" s="362"/>
      <c r="J77" s="362"/>
      <c r="K77" s="362"/>
      <c r="L77" s="362"/>
      <c r="M77" s="362"/>
      <c r="N77" s="362"/>
      <c r="O77" s="37"/>
      <c r="P77" s="362"/>
      <c r="Q77" s="362"/>
      <c r="R77" s="362"/>
      <c r="S77" s="362"/>
      <c r="T77" s="362"/>
      <c r="U77" s="339"/>
      <c r="V77" s="219"/>
      <c r="W77" s="220"/>
      <c r="X77" s="219"/>
    </row>
    <row r="78" spans="1:24" ht="16.5" customHeight="1" thickBot="1">
      <c r="A78" s="465" t="s">
        <v>411</v>
      </c>
      <c r="B78" s="467" t="s">
        <v>11</v>
      </c>
      <c r="C78" s="236" t="s">
        <v>12</v>
      </c>
      <c r="D78" s="475" t="s">
        <v>15</v>
      </c>
      <c r="E78" s="478"/>
      <c r="F78" s="479"/>
      <c r="G78" s="455" t="s">
        <v>16</v>
      </c>
      <c r="H78" s="475" t="s">
        <v>389</v>
      </c>
      <c r="I78" s="476"/>
      <c r="J78" s="476"/>
      <c r="K78" s="476"/>
      <c r="L78" s="476"/>
      <c r="M78" s="476"/>
      <c r="N78" s="476"/>
      <c r="O78" s="477"/>
      <c r="P78" s="475" t="s">
        <v>382</v>
      </c>
      <c r="Q78" s="478"/>
      <c r="R78" s="476"/>
      <c r="S78" s="476"/>
      <c r="T78" s="477"/>
      <c r="U78" s="339"/>
      <c r="V78" s="219"/>
      <c r="W78" s="220"/>
      <c r="X78" s="219"/>
    </row>
    <row r="79" spans="1:24" ht="36" customHeight="1" thickBot="1">
      <c r="A79" s="466"/>
      <c r="B79" s="468"/>
      <c r="C79" s="456" t="s">
        <v>17</v>
      </c>
      <c r="D79" s="98" t="s">
        <v>18</v>
      </c>
      <c r="E79" s="98" t="s">
        <v>19</v>
      </c>
      <c r="F79" s="98" t="s">
        <v>20</v>
      </c>
      <c r="G79" s="457" t="s">
        <v>21</v>
      </c>
      <c r="H79" s="98" t="s">
        <v>416</v>
      </c>
      <c r="I79" s="98" t="s">
        <v>383</v>
      </c>
      <c r="J79" s="98" t="s">
        <v>384</v>
      </c>
      <c r="K79" s="98" t="s">
        <v>385</v>
      </c>
      <c r="L79" s="98" t="s">
        <v>386</v>
      </c>
      <c r="M79" s="98" t="s">
        <v>418</v>
      </c>
      <c r="N79" s="98" t="s">
        <v>419</v>
      </c>
      <c r="O79" s="98" t="s">
        <v>420</v>
      </c>
      <c r="P79" s="98" t="s">
        <v>387</v>
      </c>
      <c r="Q79" s="98" t="s">
        <v>414</v>
      </c>
      <c r="R79" s="98" t="s">
        <v>388</v>
      </c>
      <c r="S79" s="98" t="s">
        <v>417</v>
      </c>
      <c r="T79" s="98" t="s">
        <v>415</v>
      </c>
      <c r="U79" s="339"/>
      <c r="V79" s="219"/>
      <c r="W79" s="220"/>
      <c r="X79" s="219"/>
    </row>
    <row r="80" spans="1:24" ht="16.5" customHeight="1" thickBot="1">
      <c r="A80" s="299"/>
      <c r="B80" s="300" t="s">
        <v>22</v>
      </c>
      <c r="C80" s="301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3"/>
      <c r="U80" s="339"/>
      <c r="V80" s="219"/>
      <c r="W80" s="220"/>
      <c r="X80" s="219"/>
    </row>
    <row r="81" spans="1:24" ht="28.5" customHeight="1">
      <c r="A81" s="459" t="s">
        <v>404</v>
      </c>
      <c r="B81" s="109" t="s">
        <v>358</v>
      </c>
      <c r="C81" s="105">
        <v>60</v>
      </c>
      <c r="D81" s="130">
        <v>0.55</v>
      </c>
      <c r="E81" s="130">
        <v>0.1</v>
      </c>
      <c r="F81" s="130">
        <v>3.8</v>
      </c>
      <c r="G81" s="130">
        <v>8</v>
      </c>
      <c r="H81" s="130">
        <v>98</v>
      </c>
      <c r="I81" s="130">
        <v>6.9</v>
      </c>
      <c r="J81" s="130">
        <v>7.2</v>
      </c>
      <c r="K81" s="130">
        <v>4.2</v>
      </c>
      <c r="L81" s="130">
        <v>0.18</v>
      </c>
      <c r="M81" s="130">
        <v>0.1</v>
      </c>
      <c r="N81" s="130">
        <v>0.1</v>
      </c>
      <c r="O81" s="130">
        <v>5</v>
      </c>
      <c r="P81" s="130">
        <v>0.01</v>
      </c>
      <c r="Q81" s="130">
        <v>0.01</v>
      </c>
      <c r="R81" s="130">
        <v>1.5</v>
      </c>
      <c r="S81" s="130">
        <v>0</v>
      </c>
      <c r="T81" s="130">
        <v>0</v>
      </c>
      <c r="U81" s="339"/>
      <c r="V81" s="219"/>
      <c r="W81" s="220"/>
      <c r="X81" s="219"/>
    </row>
    <row r="82" spans="1:24" ht="35.25" customHeight="1">
      <c r="A82" s="178" t="s">
        <v>431</v>
      </c>
      <c r="B82" s="109" t="s">
        <v>462</v>
      </c>
      <c r="C82" s="115">
        <v>100</v>
      </c>
      <c r="D82" s="118">
        <v>13.2</v>
      </c>
      <c r="E82" s="106">
        <v>13.7</v>
      </c>
      <c r="F82" s="106">
        <v>15.58</v>
      </c>
      <c r="G82" s="111">
        <v>255</v>
      </c>
      <c r="H82" s="111">
        <v>278</v>
      </c>
      <c r="I82" s="106">
        <v>177.2</v>
      </c>
      <c r="J82" s="106">
        <v>34</v>
      </c>
      <c r="K82" s="373">
        <v>266</v>
      </c>
      <c r="L82" s="106">
        <v>0.65</v>
      </c>
      <c r="M82" s="106">
        <v>44</v>
      </c>
      <c r="N82" s="106">
        <v>39</v>
      </c>
      <c r="O82" s="373">
        <v>378</v>
      </c>
      <c r="P82" s="106">
        <v>0.18</v>
      </c>
      <c r="Q82" s="106">
        <v>0.12</v>
      </c>
      <c r="R82" s="106">
        <v>0.83</v>
      </c>
      <c r="S82" s="106">
        <v>18</v>
      </c>
      <c r="T82" s="106">
        <v>0.01</v>
      </c>
      <c r="U82" s="339"/>
      <c r="V82" s="219"/>
      <c r="W82" s="220"/>
      <c r="X82" s="219"/>
    </row>
    <row r="83" spans="1:24" ht="24" customHeight="1">
      <c r="A83" s="352" t="s">
        <v>60</v>
      </c>
      <c r="B83" s="291" t="s">
        <v>170</v>
      </c>
      <c r="C83" s="105">
        <v>180</v>
      </c>
      <c r="D83" s="436">
        <v>4.4</v>
      </c>
      <c r="E83" s="436">
        <v>7.56</v>
      </c>
      <c r="F83" s="436">
        <v>40</v>
      </c>
      <c r="G83" s="436">
        <v>275</v>
      </c>
      <c r="H83" s="410">
        <v>73.4</v>
      </c>
      <c r="I83" s="106">
        <v>15.8</v>
      </c>
      <c r="J83" s="106">
        <v>10</v>
      </c>
      <c r="K83" s="106">
        <v>51.84</v>
      </c>
      <c r="L83" s="106">
        <v>1.15</v>
      </c>
      <c r="M83" s="106">
        <v>0.88</v>
      </c>
      <c r="N83" s="106">
        <v>0</v>
      </c>
      <c r="O83" s="106">
        <v>14.52</v>
      </c>
      <c r="P83" s="106">
        <v>0.08</v>
      </c>
      <c r="Q83" s="106">
        <v>0.2</v>
      </c>
      <c r="R83" s="106">
        <v>0.03</v>
      </c>
      <c r="S83" s="106">
        <v>2.16</v>
      </c>
      <c r="T83" s="290">
        <v>0.04</v>
      </c>
      <c r="U83" s="339"/>
      <c r="V83" s="219"/>
      <c r="W83" s="220"/>
      <c r="X83" s="219"/>
    </row>
    <row r="84" spans="1:24" ht="21" customHeight="1">
      <c r="A84" s="351" t="s">
        <v>406</v>
      </c>
      <c r="B84" s="294" t="s">
        <v>371</v>
      </c>
      <c r="C84" s="159">
        <v>25</v>
      </c>
      <c r="D84" s="106">
        <v>1.98</v>
      </c>
      <c r="E84" s="106">
        <v>0.2</v>
      </c>
      <c r="F84" s="106">
        <v>12.2</v>
      </c>
      <c r="G84" s="106">
        <v>58.5</v>
      </c>
      <c r="H84" s="106">
        <v>23.3</v>
      </c>
      <c r="I84" s="106">
        <v>10</v>
      </c>
      <c r="J84" s="106">
        <v>5</v>
      </c>
      <c r="K84" s="106">
        <v>5</v>
      </c>
      <c r="L84" s="106">
        <v>0.28</v>
      </c>
      <c r="M84" s="106">
        <v>0.8</v>
      </c>
      <c r="N84" s="106">
        <v>1.5</v>
      </c>
      <c r="O84" s="106">
        <v>3.63</v>
      </c>
      <c r="P84" s="106">
        <v>5</v>
      </c>
      <c r="Q84" s="106">
        <v>0.008</v>
      </c>
      <c r="R84" s="106">
        <v>1</v>
      </c>
      <c r="S84" s="106">
        <v>0</v>
      </c>
      <c r="T84" s="106">
        <v>0.55</v>
      </c>
      <c r="U84" s="339"/>
      <c r="V84" s="219"/>
      <c r="W84" s="220"/>
      <c r="X84" s="219"/>
    </row>
    <row r="85" spans="1:24" ht="24.75" customHeight="1" thickBot="1">
      <c r="A85" s="178" t="s">
        <v>460</v>
      </c>
      <c r="B85" s="343" t="s">
        <v>461</v>
      </c>
      <c r="C85" s="372">
        <v>200</v>
      </c>
      <c r="D85" s="355">
        <v>0</v>
      </c>
      <c r="E85" s="355">
        <v>0</v>
      </c>
      <c r="F85" s="355">
        <v>25</v>
      </c>
      <c r="G85" s="355">
        <v>80.8</v>
      </c>
      <c r="H85" s="355">
        <v>0</v>
      </c>
      <c r="I85" s="355">
        <v>14</v>
      </c>
      <c r="J85" s="355">
        <v>8</v>
      </c>
      <c r="K85" s="355">
        <v>14</v>
      </c>
      <c r="L85" s="355">
        <v>2.8</v>
      </c>
      <c r="M85" s="355">
        <v>0</v>
      </c>
      <c r="N85" s="355">
        <v>0</v>
      </c>
      <c r="O85" s="355">
        <v>0</v>
      </c>
      <c r="P85" s="355">
        <v>0.02</v>
      </c>
      <c r="Q85" s="355">
        <v>0</v>
      </c>
      <c r="R85" s="355">
        <v>4</v>
      </c>
      <c r="S85" s="355">
        <v>0</v>
      </c>
      <c r="T85" s="355">
        <v>0</v>
      </c>
      <c r="U85" s="339"/>
      <c r="V85" s="219"/>
      <c r="W85" s="220"/>
      <c r="X85" s="219"/>
    </row>
    <row r="86" spans="1:24" ht="21" customHeight="1" thickBot="1">
      <c r="A86" s="321"/>
      <c r="B86" s="293" t="s">
        <v>226</v>
      </c>
      <c r="C86" s="345">
        <f>SUM(C81:C85)</f>
        <v>565</v>
      </c>
      <c r="D86" s="335">
        <f aca="true" t="shared" si="3" ref="D86:T86">SUM(D81:D85)</f>
        <v>20.13</v>
      </c>
      <c r="E86" s="335">
        <f t="shared" si="3"/>
        <v>21.56</v>
      </c>
      <c r="F86" s="335">
        <f t="shared" si="3"/>
        <v>96.58</v>
      </c>
      <c r="G86" s="335">
        <f t="shared" si="3"/>
        <v>677.3</v>
      </c>
      <c r="H86" s="335">
        <f t="shared" si="3"/>
        <v>472.7</v>
      </c>
      <c r="I86" s="335">
        <f t="shared" si="3"/>
        <v>223.9</v>
      </c>
      <c r="J86" s="335">
        <f t="shared" si="3"/>
        <v>64.2</v>
      </c>
      <c r="K86" s="335">
        <f t="shared" si="3"/>
        <v>341.03999999999996</v>
      </c>
      <c r="L86" s="335">
        <f t="shared" si="3"/>
        <v>5.06</v>
      </c>
      <c r="M86" s="335">
        <f t="shared" si="3"/>
        <v>45.78</v>
      </c>
      <c r="N86" s="335">
        <f t="shared" si="3"/>
        <v>40.6</v>
      </c>
      <c r="O86" s="370">
        <f t="shared" si="3"/>
        <v>401.15</v>
      </c>
      <c r="P86" s="335">
        <f t="shared" si="3"/>
        <v>5.289999999999999</v>
      </c>
      <c r="Q86" s="335">
        <f t="shared" si="3"/>
        <v>0.338</v>
      </c>
      <c r="R86" s="335">
        <f t="shared" si="3"/>
        <v>7.359999999999999</v>
      </c>
      <c r="S86" s="335">
        <f t="shared" si="3"/>
        <v>20.16</v>
      </c>
      <c r="T86" s="335">
        <f t="shared" si="3"/>
        <v>0.6000000000000001</v>
      </c>
      <c r="U86" s="339"/>
      <c r="V86" s="219"/>
      <c r="W86" s="220"/>
      <c r="X86" s="219"/>
    </row>
    <row r="87" spans="1:24" ht="16.5" customHeight="1">
      <c r="A87" s="305"/>
      <c r="B87" s="316"/>
      <c r="C87" s="409"/>
      <c r="D87" s="362"/>
      <c r="E87" s="362"/>
      <c r="F87" s="362"/>
      <c r="G87" s="362"/>
      <c r="H87" s="362"/>
      <c r="I87" s="362"/>
      <c r="J87" s="362"/>
      <c r="K87" s="362"/>
      <c r="L87" s="362"/>
      <c r="M87" s="362"/>
      <c r="N87" s="362"/>
      <c r="O87" s="37"/>
      <c r="P87" s="362"/>
      <c r="Q87" s="362"/>
      <c r="R87" s="362"/>
      <c r="S87" s="362"/>
      <c r="T87" s="362"/>
      <c r="U87" s="339"/>
      <c r="V87" s="219"/>
      <c r="W87" s="220"/>
      <c r="X87" s="219"/>
    </row>
    <row r="88" spans="1:24" ht="27.75" customHeight="1">
      <c r="A88" s="305"/>
      <c r="B88" s="316"/>
      <c r="C88" s="338"/>
      <c r="D88" s="339"/>
      <c r="E88" s="339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219"/>
      <c r="W88" s="220"/>
      <c r="X88" s="219"/>
    </row>
    <row r="89" spans="1:24" ht="27.75" customHeight="1">
      <c r="A89" s="305"/>
      <c r="B89" s="316"/>
      <c r="C89" s="338"/>
      <c r="D89" s="339"/>
      <c r="E89" s="339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39"/>
      <c r="T89" s="339"/>
      <c r="U89" s="339"/>
      <c r="V89" s="219"/>
      <c r="W89" s="220"/>
      <c r="X89" s="219"/>
    </row>
    <row r="90" spans="1:24" ht="27.75" customHeight="1">
      <c r="A90" s="305"/>
      <c r="B90" s="316"/>
      <c r="C90" s="338"/>
      <c r="D90" s="339"/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219"/>
      <c r="W90" s="220"/>
      <c r="X90" s="219"/>
    </row>
    <row r="91" spans="1:24" ht="16.5" customHeight="1">
      <c r="A91" s="295"/>
      <c r="B91" s="325" t="s">
        <v>75</v>
      </c>
      <c r="C91" s="307"/>
      <c r="D91" s="298"/>
      <c r="E91" s="298" t="s">
        <v>422</v>
      </c>
      <c r="F91" s="298"/>
      <c r="G91" s="298"/>
      <c r="H91" s="298" t="s">
        <v>436</v>
      </c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5"/>
      <c r="V91" s="219"/>
      <c r="W91" s="220"/>
      <c r="X91" s="219"/>
    </row>
    <row r="92" spans="1:24" ht="16.5" customHeight="1">
      <c r="A92" s="295"/>
      <c r="B92" s="325" t="s">
        <v>46</v>
      </c>
      <c r="C92" s="295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5"/>
      <c r="V92" s="219"/>
      <c r="W92" s="220"/>
      <c r="X92" s="219"/>
    </row>
    <row r="93" spans="1:24" ht="16.5" customHeight="1">
      <c r="A93" s="295"/>
      <c r="B93" s="325" t="s">
        <v>473</v>
      </c>
      <c r="C93" s="295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5"/>
      <c r="V93" s="219"/>
      <c r="W93" s="220"/>
      <c r="X93" s="219"/>
    </row>
    <row r="94" spans="1:24" ht="16.5" customHeight="1" thickBot="1">
      <c r="A94" s="295"/>
      <c r="B94" s="20" t="s">
        <v>433</v>
      </c>
      <c r="C94" s="316"/>
      <c r="D94" s="40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5"/>
      <c r="V94" s="219"/>
      <c r="W94" s="220"/>
      <c r="X94" s="219"/>
    </row>
    <row r="95" spans="1:24" ht="16.5" customHeight="1" thickBot="1">
      <c r="A95" s="465" t="s">
        <v>411</v>
      </c>
      <c r="B95" s="467" t="s">
        <v>11</v>
      </c>
      <c r="C95" s="236" t="s">
        <v>12</v>
      </c>
      <c r="D95" s="475" t="s">
        <v>15</v>
      </c>
      <c r="E95" s="478"/>
      <c r="F95" s="479"/>
      <c r="G95" s="455" t="s">
        <v>16</v>
      </c>
      <c r="H95" s="475" t="s">
        <v>389</v>
      </c>
      <c r="I95" s="476"/>
      <c r="J95" s="476"/>
      <c r="K95" s="476"/>
      <c r="L95" s="476"/>
      <c r="M95" s="476"/>
      <c r="N95" s="476"/>
      <c r="O95" s="477"/>
      <c r="P95" s="475" t="s">
        <v>382</v>
      </c>
      <c r="Q95" s="478"/>
      <c r="R95" s="476"/>
      <c r="S95" s="476"/>
      <c r="T95" s="477"/>
      <c r="U95" s="360"/>
      <c r="V95" s="219"/>
      <c r="W95" s="220"/>
      <c r="X95" s="219"/>
    </row>
    <row r="96" spans="1:24" ht="42" customHeight="1" thickBot="1">
      <c r="A96" s="466"/>
      <c r="B96" s="474"/>
      <c r="C96" s="456" t="s">
        <v>17</v>
      </c>
      <c r="D96" s="98" t="s">
        <v>18</v>
      </c>
      <c r="E96" s="98" t="s">
        <v>19</v>
      </c>
      <c r="F96" s="98" t="s">
        <v>20</v>
      </c>
      <c r="G96" s="457" t="s">
        <v>21</v>
      </c>
      <c r="H96" s="98" t="s">
        <v>416</v>
      </c>
      <c r="I96" s="98" t="s">
        <v>383</v>
      </c>
      <c r="J96" s="98" t="s">
        <v>384</v>
      </c>
      <c r="K96" s="98" t="s">
        <v>385</v>
      </c>
      <c r="L96" s="98" t="s">
        <v>386</v>
      </c>
      <c r="M96" s="98" t="s">
        <v>418</v>
      </c>
      <c r="N96" s="98" t="s">
        <v>419</v>
      </c>
      <c r="O96" s="98" t="s">
        <v>420</v>
      </c>
      <c r="P96" s="98" t="s">
        <v>387</v>
      </c>
      <c r="Q96" s="98" t="s">
        <v>414</v>
      </c>
      <c r="R96" s="98" t="s">
        <v>388</v>
      </c>
      <c r="S96" s="98" t="s">
        <v>417</v>
      </c>
      <c r="T96" s="98" t="s">
        <v>415</v>
      </c>
      <c r="U96" s="57"/>
      <c r="V96" s="219"/>
      <c r="W96" s="220"/>
      <c r="X96" s="219"/>
    </row>
    <row r="97" spans="1:24" ht="16.5" customHeight="1" thickBot="1">
      <c r="A97" s="299"/>
      <c r="B97" s="300" t="s">
        <v>22</v>
      </c>
      <c r="C97" s="301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3"/>
      <c r="U97" s="323"/>
      <c r="V97" s="219"/>
      <c r="W97" s="220"/>
      <c r="X97" s="219"/>
    </row>
    <row r="98" spans="1:24" ht="28.5" customHeight="1">
      <c r="A98" s="461" t="s">
        <v>404</v>
      </c>
      <c r="B98" s="462" t="s">
        <v>405</v>
      </c>
      <c r="C98" s="463">
        <v>60</v>
      </c>
      <c r="D98" s="168">
        <v>0.72</v>
      </c>
      <c r="E98" s="168">
        <v>2.82</v>
      </c>
      <c r="F98" s="168">
        <v>4.62</v>
      </c>
      <c r="G98" s="168">
        <v>46.8</v>
      </c>
      <c r="H98" s="130">
        <v>197</v>
      </c>
      <c r="I98" s="106">
        <v>11.5</v>
      </c>
      <c r="J98" s="106">
        <v>21</v>
      </c>
      <c r="K98" s="106">
        <v>7</v>
      </c>
      <c r="L98" s="106">
        <v>0.3</v>
      </c>
      <c r="M98" s="106">
        <v>0.02</v>
      </c>
      <c r="N98" s="106">
        <v>0.18</v>
      </c>
      <c r="O98" s="106">
        <v>3.8</v>
      </c>
      <c r="P98" s="106">
        <v>0.02</v>
      </c>
      <c r="Q98" s="106">
        <v>0.024</v>
      </c>
      <c r="R98" s="106">
        <v>5</v>
      </c>
      <c r="S98" s="106">
        <v>3</v>
      </c>
      <c r="T98" s="106">
        <v>0</v>
      </c>
      <c r="U98" s="314"/>
      <c r="V98" s="219"/>
      <c r="W98" s="220"/>
      <c r="X98" s="219"/>
    </row>
    <row r="99" spans="1:24" ht="37.5" customHeight="1">
      <c r="A99" s="381" t="s">
        <v>456</v>
      </c>
      <c r="B99" s="292" t="s">
        <v>457</v>
      </c>
      <c r="C99" s="105">
        <v>100</v>
      </c>
      <c r="D99" s="118">
        <v>13</v>
      </c>
      <c r="E99" s="106">
        <v>12</v>
      </c>
      <c r="F99" s="106">
        <v>20</v>
      </c>
      <c r="G99" s="106">
        <v>180</v>
      </c>
      <c r="H99" s="106">
        <v>175.6</v>
      </c>
      <c r="I99" s="106">
        <v>22.7</v>
      </c>
      <c r="J99" s="373">
        <v>5.6</v>
      </c>
      <c r="K99" s="106">
        <v>28.4</v>
      </c>
      <c r="L99" s="106">
        <v>0.3</v>
      </c>
      <c r="M99" s="106">
        <v>4</v>
      </c>
      <c r="N99" s="106">
        <v>9.5</v>
      </c>
      <c r="O99" s="373">
        <v>97.3</v>
      </c>
      <c r="P99" s="106">
        <v>0.08</v>
      </c>
      <c r="Q99" s="106">
        <v>0.12</v>
      </c>
      <c r="R99" s="106">
        <v>2.41</v>
      </c>
      <c r="S99" s="106">
        <v>54.4</v>
      </c>
      <c r="T99" s="106">
        <v>0</v>
      </c>
      <c r="U99" s="314"/>
      <c r="V99" s="219"/>
      <c r="W99" s="220"/>
      <c r="X99" s="219"/>
    </row>
    <row r="100" spans="1:24" ht="33" customHeight="1">
      <c r="A100" s="116" t="s">
        <v>369</v>
      </c>
      <c r="B100" s="182" t="s">
        <v>208</v>
      </c>
      <c r="C100" s="159">
        <v>150</v>
      </c>
      <c r="D100" s="106">
        <v>4.59</v>
      </c>
      <c r="E100" s="106">
        <v>6.92</v>
      </c>
      <c r="F100" s="106">
        <v>25.88</v>
      </c>
      <c r="G100" s="118">
        <v>214</v>
      </c>
      <c r="H100" s="118">
        <v>165</v>
      </c>
      <c r="I100" s="106">
        <v>23</v>
      </c>
      <c r="J100" s="373">
        <v>126</v>
      </c>
      <c r="K100" s="373">
        <v>211</v>
      </c>
      <c r="L100" s="106">
        <v>3.4</v>
      </c>
      <c r="M100" s="106">
        <v>1.45</v>
      </c>
      <c r="N100" s="106">
        <v>2.5</v>
      </c>
      <c r="O100" s="106">
        <v>10.12</v>
      </c>
      <c r="P100" s="106">
        <v>0.2</v>
      </c>
      <c r="Q100" s="106">
        <v>0.08</v>
      </c>
      <c r="R100" s="106">
        <v>1</v>
      </c>
      <c r="S100" s="106">
        <v>0.6</v>
      </c>
      <c r="T100" s="106">
        <v>0</v>
      </c>
      <c r="U100" s="306"/>
      <c r="V100" s="219"/>
      <c r="W100" s="220"/>
      <c r="X100" s="219"/>
    </row>
    <row r="101" spans="1:24" ht="16.5" customHeight="1">
      <c r="A101" s="351" t="s">
        <v>406</v>
      </c>
      <c r="B101" s="308" t="s">
        <v>373</v>
      </c>
      <c r="C101" s="159">
        <v>30</v>
      </c>
      <c r="D101" s="106">
        <v>1.4</v>
      </c>
      <c r="E101" s="106">
        <v>0.28</v>
      </c>
      <c r="F101" s="106">
        <v>10.25</v>
      </c>
      <c r="G101" s="106">
        <v>51.5</v>
      </c>
      <c r="H101" s="106">
        <v>78</v>
      </c>
      <c r="I101" s="106">
        <v>7.25</v>
      </c>
      <c r="J101" s="106">
        <v>37.5</v>
      </c>
      <c r="K101" s="106">
        <v>11.75</v>
      </c>
      <c r="L101" s="106">
        <v>0.95</v>
      </c>
      <c r="M101" s="106">
        <v>1.4</v>
      </c>
      <c r="N101" s="106">
        <v>1.8</v>
      </c>
      <c r="O101" s="106">
        <v>8</v>
      </c>
      <c r="P101" s="106">
        <v>0.04</v>
      </c>
      <c r="Q101" s="106">
        <v>0.08</v>
      </c>
      <c r="R101" s="106">
        <v>0</v>
      </c>
      <c r="S101" s="106">
        <v>0</v>
      </c>
      <c r="T101" s="106">
        <v>0</v>
      </c>
      <c r="U101" s="314"/>
      <c r="V101" s="219"/>
      <c r="W101" s="220"/>
      <c r="X101" s="219"/>
    </row>
    <row r="102" spans="1:24" ht="20.25" customHeight="1">
      <c r="A102" s="116" t="s">
        <v>343</v>
      </c>
      <c r="B102" s="291" t="s">
        <v>366</v>
      </c>
      <c r="C102" s="119">
        <v>200</v>
      </c>
      <c r="D102" s="106">
        <v>1.5</v>
      </c>
      <c r="E102" s="106">
        <v>1.3</v>
      </c>
      <c r="F102" s="106">
        <v>22.4</v>
      </c>
      <c r="G102" s="118">
        <v>107</v>
      </c>
      <c r="H102" s="118">
        <v>168</v>
      </c>
      <c r="I102" s="106">
        <v>161</v>
      </c>
      <c r="J102" s="106">
        <v>7</v>
      </c>
      <c r="K102" s="373">
        <v>145</v>
      </c>
      <c r="L102" s="106">
        <v>1</v>
      </c>
      <c r="M102" s="106">
        <v>9</v>
      </c>
      <c r="N102" s="106">
        <v>2</v>
      </c>
      <c r="O102" s="106">
        <v>20</v>
      </c>
      <c r="P102" s="106">
        <v>0.02</v>
      </c>
      <c r="Q102" s="106">
        <v>0.15</v>
      </c>
      <c r="R102" s="106">
        <v>1</v>
      </c>
      <c r="S102" s="106">
        <v>23.8</v>
      </c>
      <c r="T102" s="106">
        <v>0</v>
      </c>
      <c r="U102" s="306"/>
      <c r="V102" s="219"/>
      <c r="W102" s="220"/>
      <c r="X102" s="219"/>
    </row>
    <row r="103" spans="1:24" ht="24.75" customHeight="1" thickBot="1">
      <c r="A103" s="352" t="s">
        <v>408</v>
      </c>
      <c r="B103" s="318" t="s">
        <v>407</v>
      </c>
      <c r="C103" s="374">
        <v>100</v>
      </c>
      <c r="D103" s="376">
        <v>0.7</v>
      </c>
      <c r="E103" s="376">
        <v>0.1</v>
      </c>
      <c r="F103" s="376">
        <v>7.5</v>
      </c>
      <c r="G103" s="375">
        <v>38</v>
      </c>
      <c r="H103" s="375">
        <v>155</v>
      </c>
      <c r="I103" s="376">
        <v>30</v>
      </c>
      <c r="J103" s="376">
        <v>11</v>
      </c>
      <c r="K103" s="377">
        <v>17</v>
      </c>
      <c r="L103" s="376">
        <v>0.1</v>
      </c>
      <c r="M103" s="376">
        <v>0.3</v>
      </c>
      <c r="N103" s="376">
        <v>0.1</v>
      </c>
      <c r="O103" s="378">
        <v>150</v>
      </c>
      <c r="P103" s="376">
        <v>0.04</v>
      </c>
      <c r="Q103" s="376">
        <v>0.03</v>
      </c>
      <c r="R103" s="376">
        <v>38</v>
      </c>
      <c r="S103" s="376">
        <v>5</v>
      </c>
      <c r="T103" s="375">
        <v>0</v>
      </c>
      <c r="U103" s="306"/>
      <c r="V103" s="219"/>
      <c r="W103" s="220"/>
      <c r="X103" s="219"/>
    </row>
    <row r="104" spans="1:24" ht="16.5" customHeight="1" thickBot="1">
      <c r="A104" s="293"/>
      <c r="B104" s="293" t="s">
        <v>226</v>
      </c>
      <c r="C104" s="383">
        <f aca="true" t="shared" si="4" ref="C104:T104">SUM(C98:C102)</f>
        <v>540</v>
      </c>
      <c r="D104" s="383">
        <f t="shared" si="4"/>
        <v>21.21</v>
      </c>
      <c r="E104" s="383">
        <f t="shared" si="4"/>
        <v>23.320000000000004</v>
      </c>
      <c r="F104" s="383">
        <f t="shared" si="4"/>
        <v>83.15</v>
      </c>
      <c r="G104" s="383">
        <f t="shared" si="4"/>
        <v>599.3</v>
      </c>
      <c r="H104" s="383">
        <f t="shared" si="4"/>
        <v>783.6</v>
      </c>
      <c r="I104" s="383">
        <f t="shared" si="4"/>
        <v>225.45</v>
      </c>
      <c r="J104" s="383">
        <f t="shared" si="4"/>
        <v>197.1</v>
      </c>
      <c r="K104" s="383">
        <f t="shared" si="4"/>
        <v>403.15</v>
      </c>
      <c r="L104" s="383">
        <f t="shared" si="4"/>
        <v>5.95</v>
      </c>
      <c r="M104" s="383">
        <f t="shared" si="4"/>
        <v>15.87</v>
      </c>
      <c r="N104" s="383">
        <f t="shared" si="4"/>
        <v>15.98</v>
      </c>
      <c r="O104" s="383">
        <f t="shared" si="4"/>
        <v>139.22</v>
      </c>
      <c r="P104" s="383">
        <f t="shared" si="4"/>
        <v>0.36000000000000004</v>
      </c>
      <c r="Q104" s="383">
        <f t="shared" si="4"/>
        <v>0.45399999999999996</v>
      </c>
      <c r="R104" s="383">
        <f t="shared" si="4"/>
        <v>9.41</v>
      </c>
      <c r="S104" s="383">
        <f t="shared" si="4"/>
        <v>81.8</v>
      </c>
      <c r="T104" s="383">
        <f t="shared" si="4"/>
        <v>0</v>
      </c>
      <c r="U104" s="362"/>
      <c r="V104" s="219"/>
      <c r="W104" s="220"/>
      <c r="X104" s="219"/>
    </row>
    <row r="105" spans="1:24" ht="16.5" customHeight="1">
      <c r="A105" s="316"/>
      <c r="B105" s="316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  <c r="T105" s="411"/>
      <c r="U105" s="362"/>
      <c r="V105" s="219"/>
      <c r="W105" s="220"/>
      <c r="X105" s="219"/>
    </row>
    <row r="106" spans="1:24" ht="16.5" customHeight="1" thickBot="1">
      <c r="A106" s="316"/>
      <c r="B106" s="316"/>
      <c r="C106" s="411"/>
      <c r="D106" s="411"/>
      <c r="E106" s="298" t="s">
        <v>423</v>
      </c>
      <c r="F106" s="298"/>
      <c r="G106" s="411"/>
      <c r="H106" s="411"/>
      <c r="I106" s="411"/>
      <c r="J106" s="411"/>
      <c r="K106" s="411"/>
      <c r="L106" s="411"/>
      <c r="M106" s="411"/>
      <c r="N106" s="411"/>
      <c r="O106" s="411"/>
      <c r="P106" s="411"/>
      <c r="Q106" s="411"/>
      <c r="R106" s="411"/>
      <c r="S106" s="411"/>
      <c r="T106" s="411"/>
      <c r="U106" s="362"/>
      <c r="V106" s="219"/>
      <c r="W106" s="220"/>
      <c r="X106" s="219"/>
    </row>
    <row r="107" spans="1:24" ht="16.5" customHeight="1" thickBot="1">
      <c r="A107" s="465" t="s">
        <v>411</v>
      </c>
      <c r="B107" s="467" t="s">
        <v>11</v>
      </c>
      <c r="C107" s="236" t="s">
        <v>12</v>
      </c>
      <c r="D107" s="475" t="s">
        <v>15</v>
      </c>
      <c r="E107" s="478"/>
      <c r="F107" s="479"/>
      <c r="G107" s="455" t="s">
        <v>16</v>
      </c>
      <c r="H107" s="475" t="s">
        <v>389</v>
      </c>
      <c r="I107" s="476"/>
      <c r="J107" s="476"/>
      <c r="K107" s="476"/>
      <c r="L107" s="476"/>
      <c r="M107" s="476"/>
      <c r="N107" s="476"/>
      <c r="O107" s="477"/>
      <c r="P107" s="475" t="s">
        <v>382</v>
      </c>
      <c r="Q107" s="478"/>
      <c r="R107" s="476"/>
      <c r="S107" s="476"/>
      <c r="T107" s="477"/>
      <c r="U107" s="362"/>
      <c r="V107" s="219"/>
      <c r="W107" s="220"/>
      <c r="X107" s="219"/>
    </row>
    <row r="108" spans="1:24" ht="33" customHeight="1" thickBot="1">
      <c r="A108" s="466"/>
      <c r="B108" s="474"/>
      <c r="C108" s="456" t="s">
        <v>17</v>
      </c>
      <c r="D108" s="98" t="s">
        <v>18</v>
      </c>
      <c r="E108" s="98" t="s">
        <v>19</v>
      </c>
      <c r="F108" s="98" t="s">
        <v>20</v>
      </c>
      <c r="G108" s="457" t="s">
        <v>21</v>
      </c>
      <c r="H108" s="98" t="s">
        <v>416</v>
      </c>
      <c r="I108" s="98" t="s">
        <v>383</v>
      </c>
      <c r="J108" s="98" t="s">
        <v>384</v>
      </c>
      <c r="K108" s="98" t="s">
        <v>385</v>
      </c>
      <c r="L108" s="98" t="s">
        <v>386</v>
      </c>
      <c r="M108" s="98" t="s">
        <v>418</v>
      </c>
      <c r="N108" s="98" t="s">
        <v>419</v>
      </c>
      <c r="O108" s="98" t="s">
        <v>420</v>
      </c>
      <c r="P108" s="98" t="s">
        <v>387</v>
      </c>
      <c r="Q108" s="98" t="s">
        <v>414</v>
      </c>
      <c r="R108" s="98" t="s">
        <v>388</v>
      </c>
      <c r="S108" s="98" t="s">
        <v>417</v>
      </c>
      <c r="T108" s="98" t="s">
        <v>415</v>
      </c>
      <c r="U108" s="362"/>
      <c r="V108" s="219"/>
      <c r="W108" s="220"/>
      <c r="X108" s="219"/>
    </row>
    <row r="109" spans="1:24" ht="16.5" customHeight="1" thickBot="1">
      <c r="A109" s="299"/>
      <c r="B109" s="300" t="s">
        <v>22</v>
      </c>
      <c r="C109" s="301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3"/>
      <c r="U109" s="362"/>
      <c r="V109" s="219"/>
      <c r="W109" s="220"/>
      <c r="X109" s="219"/>
    </row>
    <row r="110" spans="1:24" ht="24.75" customHeight="1">
      <c r="A110" s="458" t="s">
        <v>474</v>
      </c>
      <c r="B110" s="319" t="s">
        <v>475</v>
      </c>
      <c r="C110" s="117">
        <v>60</v>
      </c>
      <c r="D110" s="118">
        <v>0.55</v>
      </c>
      <c r="E110" s="106">
        <v>0.1</v>
      </c>
      <c r="F110" s="106">
        <v>3.8</v>
      </c>
      <c r="G110" s="118">
        <v>12</v>
      </c>
      <c r="H110" s="118">
        <v>145</v>
      </c>
      <c r="I110" s="118">
        <v>5.5</v>
      </c>
      <c r="J110" s="118">
        <v>10.5</v>
      </c>
      <c r="K110" s="118">
        <v>3.5</v>
      </c>
      <c r="L110" s="118">
        <v>0.15</v>
      </c>
      <c r="M110" s="118">
        <v>0.4</v>
      </c>
      <c r="N110" s="118">
        <v>0.2</v>
      </c>
      <c r="O110" s="118">
        <v>10</v>
      </c>
      <c r="P110" s="118">
        <v>0.04</v>
      </c>
      <c r="Q110" s="118">
        <v>0.02</v>
      </c>
      <c r="R110" s="118">
        <v>15</v>
      </c>
      <c r="S110" s="118">
        <v>66.5</v>
      </c>
      <c r="T110" s="118">
        <v>0</v>
      </c>
      <c r="U110" s="362"/>
      <c r="V110" s="219"/>
      <c r="W110" s="220"/>
      <c r="X110" s="219"/>
    </row>
    <row r="111" spans="1:24" ht="38.25" customHeight="1">
      <c r="A111" s="381" t="s">
        <v>441</v>
      </c>
      <c r="B111" s="292" t="s">
        <v>442</v>
      </c>
      <c r="C111" s="105">
        <v>100</v>
      </c>
      <c r="D111" s="118">
        <v>10.12</v>
      </c>
      <c r="E111" s="106">
        <v>13.2</v>
      </c>
      <c r="F111" s="106">
        <v>15.2</v>
      </c>
      <c r="G111" s="106">
        <v>180</v>
      </c>
      <c r="H111" s="106">
        <v>191</v>
      </c>
      <c r="I111" s="106">
        <v>391</v>
      </c>
      <c r="J111" s="373">
        <v>198.74</v>
      </c>
      <c r="K111" s="106">
        <v>22.47</v>
      </c>
      <c r="L111" s="106">
        <v>1.29</v>
      </c>
      <c r="M111" s="106">
        <v>5</v>
      </c>
      <c r="N111" s="106">
        <v>20</v>
      </c>
      <c r="O111" s="373">
        <v>114</v>
      </c>
      <c r="P111" s="106">
        <v>0.08</v>
      </c>
      <c r="Q111" s="106">
        <v>0.19</v>
      </c>
      <c r="R111" s="106">
        <v>2.66</v>
      </c>
      <c r="S111" s="106">
        <v>43</v>
      </c>
      <c r="T111" s="106">
        <v>0.03</v>
      </c>
      <c r="U111" s="362"/>
      <c r="V111" s="219"/>
      <c r="W111" s="220"/>
      <c r="X111" s="219"/>
    </row>
    <row r="112" spans="1:24" ht="21" customHeight="1">
      <c r="A112" s="109" t="s">
        <v>362</v>
      </c>
      <c r="B112" s="292" t="s">
        <v>355</v>
      </c>
      <c r="C112" s="105">
        <v>180</v>
      </c>
      <c r="D112" s="118">
        <v>3.78</v>
      </c>
      <c r="E112" s="106">
        <v>8.1</v>
      </c>
      <c r="F112" s="106">
        <v>26.28</v>
      </c>
      <c r="G112" s="106">
        <v>196.2</v>
      </c>
      <c r="H112" s="130">
        <v>471</v>
      </c>
      <c r="I112" s="410">
        <v>47</v>
      </c>
      <c r="J112" s="410">
        <v>29</v>
      </c>
      <c r="K112" s="410">
        <v>85</v>
      </c>
      <c r="L112" s="410">
        <v>1.1</v>
      </c>
      <c r="M112" s="410">
        <v>4.4</v>
      </c>
      <c r="N112" s="410">
        <v>0.24</v>
      </c>
      <c r="O112" s="410">
        <v>26.4</v>
      </c>
      <c r="P112" s="410">
        <v>0.14</v>
      </c>
      <c r="Q112" s="410">
        <v>0.06</v>
      </c>
      <c r="R112" s="410">
        <v>5</v>
      </c>
      <c r="S112" s="410">
        <v>1.8</v>
      </c>
      <c r="T112" s="410">
        <v>0.06</v>
      </c>
      <c r="U112" s="362"/>
      <c r="V112" s="219"/>
      <c r="W112" s="220"/>
      <c r="X112" s="219"/>
    </row>
    <row r="113" spans="1:24" ht="24" customHeight="1">
      <c r="A113" s="351" t="s">
        <v>406</v>
      </c>
      <c r="B113" s="308" t="s">
        <v>373</v>
      </c>
      <c r="C113" s="159">
        <v>30</v>
      </c>
      <c r="D113" s="106">
        <v>1.4</v>
      </c>
      <c r="E113" s="106">
        <v>0.28</v>
      </c>
      <c r="F113" s="106">
        <v>10.25</v>
      </c>
      <c r="G113" s="106">
        <v>51.5</v>
      </c>
      <c r="H113" s="106">
        <v>78</v>
      </c>
      <c r="I113" s="106">
        <v>7.25</v>
      </c>
      <c r="J113" s="106">
        <v>37.5</v>
      </c>
      <c r="K113" s="106">
        <v>11.75</v>
      </c>
      <c r="L113" s="106">
        <v>0.95</v>
      </c>
      <c r="M113" s="106">
        <v>1.4</v>
      </c>
      <c r="N113" s="106">
        <v>1.8</v>
      </c>
      <c r="O113" s="106">
        <v>8</v>
      </c>
      <c r="P113" s="106">
        <v>0.04</v>
      </c>
      <c r="Q113" s="106">
        <v>0.08</v>
      </c>
      <c r="R113" s="106">
        <v>0</v>
      </c>
      <c r="S113" s="106">
        <v>0</v>
      </c>
      <c r="T113" s="106">
        <v>0</v>
      </c>
      <c r="U113" s="362"/>
      <c r="V113" s="219"/>
      <c r="W113" s="220"/>
      <c r="X113" s="219"/>
    </row>
    <row r="114" spans="1:24" ht="27.75" customHeight="1">
      <c r="A114" s="412" t="s">
        <v>313</v>
      </c>
      <c r="B114" s="292" t="s">
        <v>428</v>
      </c>
      <c r="C114" s="110">
        <v>200</v>
      </c>
      <c r="D114" s="118">
        <v>0.6</v>
      </c>
      <c r="E114" s="106">
        <v>0.1</v>
      </c>
      <c r="F114" s="106">
        <v>26.4</v>
      </c>
      <c r="G114" s="426">
        <v>108</v>
      </c>
      <c r="H114" s="111">
        <v>0</v>
      </c>
      <c r="I114" s="118">
        <v>21</v>
      </c>
      <c r="J114" s="118">
        <v>16</v>
      </c>
      <c r="K114" s="118">
        <v>23</v>
      </c>
      <c r="L114" s="118">
        <v>0.7</v>
      </c>
      <c r="M114" s="118">
        <v>0</v>
      </c>
      <c r="N114" s="118">
        <v>0</v>
      </c>
      <c r="O114" s="118">
        <v>0</v>
      </c>
      <c r="P114" s="118">
        <v>0.02</v>
      </c>
      <c r="Q114" s="118">
        <v>0</v>
      </c>
      <c r="R114" s="118">
        <v>0</v>
      </c>
      <c r="S114" s="118">
        <v>15</v>
      </c>
      <c r="T114" s="118">
        <v>0.5</v>
      </c>
      <c r="U114" s="362"/>
      <c r="V114" s="219"/>
      <c r="W114" s="220"/>
      <c r="X114" s="219"/>
    </row>
    <row r="115" spans="1:24" ht="27.75" customHeight="1" thickBot="1">
      <c r="A115" s="352" t="s">
        <v>408</v>
      </c>
      <c r="B115" s="318" t="s">
        <v>407</v>
      </c>
      <c r="C115" s="374">
        <v>100</v>
      </c>
      <c r="D115" s="376">
        <v>0.7</v>
      </c>
      <c r="E115" s="376">
        <v>0.1</v>
      </c>
      <c r="F115" s="376">
        <v>7.5</v>
      </c>
      <c r="G115" s="375">
        <v>38</v>
      </c>
      <c r="H115" s="375">
        <v>155</v>
      </c>
      <c r="I115" s="376">
        <v>30</v>
      </c>
      <c r="J115" s="376">
        <v>11</v>
      </c>
      <c r="K115" s="377">
        <v>17</v>
      </c>
      <c r="L115" s="376">
        <v>0.1</v>
      </c>
      <c r="M115" s="376">
        <v>0.3</v>
      </c>
      <c r="N115" s="376">
        <v>0.1</v>
      </c>
      <c r="O115" s="377">
        <v>150</v>
      </c>
      <c r="P115" s="376">
        <v>0.04</v>
      </c>
      <c r="Q115" s="376">
        <v>0.03</v>
      </c>
      <c r="R115" s="376">
        <v>35</v>
      </c>
      <c r="S115" s="376">
        <v>0</v>
      </c>
      <c r="T115" s="375">
        <v>0.2</v>
      </c>
      <c r="U115" s="362"/>
      <c r="V115" s="219"/>
      <c r="W115" s="220"/>
      <c r="X115" s="219"/>
    </row>
    <row r="116" spans="1:24" ht="16.5" customHeight="1" thickBot="1">
      <c r="A116" s="293"/>
      <c r="B116" s="293" t="s">
        <v>226</v>
      </c>
      <c r="C116" s="383">
        <f>SUM(C110:C114)</f>
        <v>570</v>
      </c>
      <c r="D116" s="413">
        <f aca="true" t="shared" si="5" ref="D116:T116">SUM(D110:D115)</f>
        <v>17.15</v>
      </c>
      <c r="E116" s="413">
        <f t="shared" si="5"/>
        <v>21.880000000000003</v>
      </c>
      <c r="F116" s="413">
        <f t="shared" si="5"/>
        <v>89.43</v>
      </c>
      <c r="G116" s="413">
        <f t="shared" si="5"/>
        <v>585.7</v>
      </c>
      <c r="H116" s="414">
        <f t="shared" si="5"/>
        <v>1040</v>
      </c>
      <c r="I116" s="413">
        <f t="shared" si="5"/>
        <v>501.75</v>
      </c>
      <c r="J116" s="413">
        <f t="shared" si="5"/>
        <v>302.74</v>
      </c>
      <c r="K116" s="413">
        <f t="shared" si="5"/>
        <v>162.72</v>
      </c>
      <c r="L116" s="413">
        <f t="shared" si="5"/>
        <v>4.29</v>
      </c>
      <c r="M116" s="413">
        <f t="shared" si="5"/>
        <v>11.500000000000002</v>
      </c>
      <c r="N116" s="413">
        <f t="shared" si="5"/>
        <v>22.34</v>
      </c>
      <c r="O116" s="414">
        <f t="shared" si="5"/>
        <v>308.4</v>
      </c>
      <c r="P116" s="413">
        <f t="shared" si="5"/>
        <v>0.36</v>
      </c>
      <c r="Q116" s="413">
        <f t="shared" si="5"/>
        <v>0.38</v>
      </c>
      <c r="R116" s="413">
        <f t="shared" si="5"/>
        <v>57.66</v>
      </c>
      <c r="S116" s="413">
        <f t="shared" si="5"/>
        <v>126.3</v>
      </c>
      <c r="T116" s="413">
        <f t="shared" si="5"/>
        <v>0.79</v>
      </c>
      <c r="U116" s="362"/>
      <c r="V116" s="219"/>
      <c r="W116" s="220"/>
      <c r="X116" s="219"/>
    </row>
    <row r="117" spans="1:24" ht="18" customHeight="1">
      <c r="A117" s="316"/>
      <c r="B117" s="316"/>
      <c r="C117" s="411"/>
      <c r="D117" s="411"/>
      <c r="E117" s="411"/>
      <c r="F117" s="411"/>
      <c r="G117" s="411"/>
      <c r="H117" s="411"/>
      <c r="I117" s="411"/>
      <c r="J117" s="411"/>
      <c r="K117" s="411"/>
      <c r="L117" s="411"/>
      <c r="M117" s="411"/>
      <c r="N117" s="411"/>
      <c r="O117" s="411"/>
      <c r="P117" s="411"/>
      <c r="Q117" s="411"/>
      <c r="R117" s="411"/>
      <c r="S117" s="411"/>
      <c r="T117" s="411"/>
      <c r="U117" s="362"/>
      <c r="V117" s="219"/>
      <c r="W117" s="220"/>
      <c r="X117" s="219"/>
    </row>
    <row r="118" spans="1:24" ht="16.5" customHeight="1">
      <c r="A118" s="316"/>
      <c r="B118" s="316"/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1"/>
      <c r="S118" s="411"/>
      <c r="T118" s="411"/>
      <c r="U118" s="362"/>
      <c r="V118" s="219"/>
      <c r="W118" s="220"/>
      <c r="X118" s="219"/>
    </row>
    <row r="119" spans="1:24" ht="16.5" customHeight="1">
      <c r="A119" s="316"/>
      <c r="B119" s="316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  <c r="T119" s="411"/>
      <c r="U119" s="362"/>
      <c r="V119" s="219"/>
      <c r="W119" s="220"/>
      <c r="X119" s="219"/>
    </row>
    <row r="120" spans="1:24" ht="16.5" customHeight="1">
      <c r="A120" s="316"/>
      <c r="B120" s="316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  <c r="T120" s="411"/>
      <c r="U120" s="362"/>
      <c r="V120" s="219"/>
      <c r="W120" s="220"/>
      <c r="X120" s="219"/>
    </row>
    <row r="121" spans="1:24" ht="16.5" customHeight="1">
      <c r="A121" s="305"/>
      <c r="B121" s="325" t="s">
        <v>89</v>
      </c>
      <c r="C121" s="338"/>
      <c r="D121" s="339"/>
      <c r="E121" s="298" t="s">
        <v>422</v>
      </c>
      <c r="F121" s="298"/>
      <c r="G121" s="339"/>
      <c r="H121" s="298" t="s">
        <v>436</v>
      </c>
      <c r="I121" s="298"/>
      <c r="J121" s="298"/>
      <c r="K121" s="298"/>
      <c r="L121" s="339"/>
      <c r="M121" s="339"/>
      <c r="N121" s="339"/>
      <c r="O121" s="339"/>
      <c r="P121" s="339"/>
      <c r="Q121" s="339"/>
      <c r="R121" s="339"/>
      <c r="S121" s="339"/>
      <c r="T121" s="339"/>
      <c r="U121" s="339"/>
      <c r="V121" s="219"/>
      <c r="W121" s="220"/>
      <c r="X121" s="219"/>
    </row>
    <row r="122" spans="1:24" ht="16.5" customHeight="1">
      <c r="A122" s="305"/>
      <c r="B122" s="325" t="s">
        <v>46</v>
      </c>
      <c r="C122" s="338"/>
      <c r="D122" s="339"/>
      <c r="E122" s="339"/>
      <c r="F122" s="339"/>
      <c r="G122" s="339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39"/>
      <c r="S122" s="339"/>
      <c r="T122" s="339"/>
      <c r="U122" s="339"/>
      <c r="V122" s="219"/>
      <c r="W122" s="220"/>
      <c r="X122" s="219"/>
    </row>
    <row r="123" spans="1:24" ht="16.5" customHeight="1">
      <c r="A123" s="295"/>
      <c r="B123" s="325" t="s">
        <v>473</v>
      </c>
      <c r="C123" s="41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1"/>
      <c r="V123" s="219"/>
      <c r="W123" s="220"/>
      <c r="X123" s="219"/>
    </row>
    <row r="124" spans="1:24" ht="16.5" customHeight="1" thickBot="1">
      <c r="A124" s="295"/>
      <c r="B124" s="20" t="s">
        <v>433</v>
      </c>
      <c r="C124" s="316"/>
      <c r="D124" s="40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5"/>
      <c r="V124" s="219"/>
      <c r="W124" s="220"/>
      <c r="X124" s="219"/>
    </row>
    <row r="125" spans="1:24" ht="16.5" customHeight="1" thickBot="1">
      <c r="A125" s="465" t="s">
        <v>411</v>
      </c>
      <c r="B125" s="467" t="s">
        <v>11</v>
      </c>
      <c r="C125" s="100" t="s">
        <v>12</v>
      </c>
      <c r="D125" s="469" t="s">
        <v>15</v>
      </c>
      <c r="E125" s="470"/>
      <c r="F125" s="471"/>
      <c r="G125" s="101" t="s">
        <v>16</v>
      </c>
      <c r="H125" s="469" t="s">
        <v>389</v>
      </c>
      <c r="I125" s="472"/>
      <c r="J125" s="472"/>
      <c r="K125" s="472"/>
      <c r="L125" s="472"/>
      <c r="M125" s="472"/>
      <c r="N125" s="472"/>
      <c r="O125" s="473"/>
      <c r="P125" s="469" t="s">
        <v>382</v>
      </c>
      <c r="Q125" s="470"/>
      <c r="R125" s="472"/>
      <c r="S125" s="472"/>
      <c r="T125" s="473"/>
      <c r="U125" s="360"/>
      <c r="V125" s="219"/>
      <c r="W125" s="220"/>
      <c r="X125" s="219"/>
    </row>
    <row r="126" spans="1:24" ht="40.5" customHeight="1" thickBot="1">
      <c r="A126" s="466"/>
      <c r="B126" s="468"/>
      <c r="C126" s="350" t="s">
        <v>17</v>
      </c>
      <c r="D126" s="103" t="s">
        <v>18</v>
      </c>
      <c r="E126" s="103" t="s">
        <v>19</v>
      </c>
      <c r="F126" s="103" t="s">
        <v>20</v>
      </c>
      <c r="G126" s="369" t="s">
        <v>21</v>
      </c>
      <c r="H126" s="367" t="s">
        <v>416</v>
      </c>
      <c r="I126" s="367" t="s">
        <v>383</v>
      </c>
      <c r="J126" s="367" t="s">
        <v>384</v>
      </c>
      <c r="K126" s="367" t="s">
        <v>385</v>
      </c>
      <c r="L126" s="367" t="s">
        <v>386</v>
      </c>
      <c r="M126" s="367" t="s">
        <v>418</v>
      </c>
      <c r="N126" s="368" t="s">
        <v>419</v>
      </c>
      <c r="O126" s="368" t="s">
        <v>420</v>
      </c>
      <c r="P126" s="125" t="s">
        <v>387</v>
      </c>
      <c r="Q126" s="125" t="s">
        <v>414</v>
      </c>
      <c r="R126" s="125" t="s">
        <v>388</v>
      </c>
      <c r="S126" s="125" t="s">
        <v>417</v>
      </c>
      <c r="T126" s="98" t="s">
        <v>415</v>
      </c>
      <c r="U126" s="57"/>
      <c r="V126" s="219"/>
      <c r="W126" s="220"/>
      <c r="X126" s="219"/>
    </row>
    <row r="127" spans="1:24" ht="25.5" customHeight="1" thickBot="1">
      <c r="A127" s="299"/>
      <c r="B127" s="300" t="s">
        <v>22</v>
      </c>
      <c r="C127" s="301"/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3"/>
      <c r="U127" s="323"/>
      <c r="V127" s="219"/>
      <c r="W127" s="220"/>
      <c r="X127" s="219"/>
    </row>
    <row r="128" spans="1:24" ht="36.75" customHeight="1">
      <c r="A128" s="454" t="s">
        <v>398</v>
      </c>
      <c r="B128" s="340" t="s">
        <v>470</v>
      </c>
      <c r="C128" s="388">
        <v>205</v>
      </c>
      <c r="D128" s="384">
        <v>3.56</v>
      </c>
      <c r="E128" s="130">
        <v>8.6</v>
      </c>
      <c r="F128" s="130">
        <v>32.86</v>
      </c>
      <c r="G128" s="371">
        <v>223.6</v>
      </c>
      <c r="H128" s="371">
        <v>146</v>
      </c>
      <c r="I128" s="130">
        <v>147</v>
      </c>
      <c r="J128" s="385">
        <v>155</v>
      </c>
      <c r="K128" s="130">
        <v>32.2</v>
      </c>
      <c r="L128" s="130">
        <v>0.45</v>
      </c>
      <c r="M128" s="130">
        <v>9</v>
      </c>
      <c r="N128" s="130">
        <v>2</v>
      </c>
      <c r="O128" s="130">
        <v>20</v>
      </c>
      <c r="P128" s="130">
        <v>0.07</v>
      </c>
      <c r="Q128" s="130">
        <v>0.15</v>
      </c>
      <c r="R128" s="130">
        <v>1.56</v>
      </c>
      <c r="S128" s="130">
        <v>22</v>
      </c>
      <c r="T128" s="130">
        <v>0.06</v>
      </c>
      <c r="U128" s="310"/>
      <c r="V128" s="219"/>
      <c r="W128" s="220"/>
      <c r="X128" s="219"/>
    </row>
    <row r="129" spans="1:24" ht="18" customHeight="1">
      <c r="A129" s="351" t="s">
        <v>406</v>
      </c>
      <c r="B129" s="320" t="s">
        <v>394</v>
      </c>
      <c r="C129" s="341">
        <v>40</v>
      </c>
      <c r="D129" s="106">
        <v>2.1</v>
      </c>
      <c r="E129" s="106">
        <v>0.3</v>
      </c>
      <c r="F129" s="106">
        <v>15</v>
      </c>
      <c r="G129" s="118">
        <v>83</v>
      </c>
      <c r="H129" s="118">
        <v>166</v>
      </c>
      <c r="I129" s="106">
        <v>4.75</v>
      </c>
      <c r="J129" s="106">
        <v>16.25</v>
      </c>
      <c r="K129" s="106">
        <v>3.25</v>
      </c>
      <c r="L129" s="106">
        <v>0.3</v>
      </c>
      <c r="M129" s="106">
        <v>1.1</v>
      </c>
      <c r="N129" s="106">
        <v>2</v>
      </c>
      <c r="O129" s="106">
        <v>4.8</v>
      </c>
      <c r="P129" s="106">
        <v>0.03</v>
      </c>
      <c r="Q129" s="106">
        <v>0.01</v>
      </c>
      <c r="R129" s="106">
        <v>0</v>
      </c>
      <c r="S129" s="106">
        <v>0</v>
      </c>
      <c r="T129" s="106">
        <v>0</v>
      </c>
      <c r="U129" s="306"/>
      <c r="V129" s="219"/>
      <c r="W129" s="220"/>
      <c r="X129" s="219"/>
    </row>
    <row r="130" spans="1:24" ht="33" customHeight="1">
      <c r="A130" s="391" t="s">
        <v>65</v>
      </c>
      <c r="B130" s="324" t="s">
        <v>396</v>
      </c>
      <c r="C130" s="341">
        <v>110</v>
      </c>
      <c r="D130" s="130">
        <v>12.9</v>
      </c>
      <c r="E130" s="130">
        <v>9.7</v>
      </c>
      <c r="F130" s="130">
        <v>18.5</v>
      </c>
      <c r="G130" s="384">
        <v>178.1</v>
      </c>
      <c r="H130" s="384">
        <v>92</v>
      </c>
      <c r="I130" s="130">
        <v>37.1</v>
      </c>
      <c r="J130" s="130">
        <v>5.2</v>
      </c>
      <c r="K130" s="385">
        <v>34.9</v>
      </c>
      <c r="L130" s="130">
        <v>0.18</v>
      </c>
      <c r="M130" s="130">
        <v>7.92</v>
      </c>
      <c r="N130" s="130">
        <v>26</v>
      </c>
      <c r="O130" s="130">
        <v>28</v>
      </c>
      <c r="P130" s="130">
        <v>0.02</v>
      </c>
      <c r="Q130" s="130">
        <v>0.2</v>
      </c>
      <c r="R130" s="130">
        <v>0.12</v>
      </c>
      <c r="S130" s="130">
        <v>19.8</v>
      </c>
      <c r="T130" s="130">
        <v>0.01</v>
      </c>
      <c r="U130" s="306"/>
      <c r="V130" s="219"/>
      <c r="W130" s="220"/>
      <c r="X130" s="219"/>
    </row>
    <row r="131" spans="1:24" ht="22.5" customHeight="1">
      <c r="A131" s="178" t="s">
        <v>361</v>
      </c>
      <c r="B131" s="432" t="s">
        <v>370</v>
      </c>
      <c r="C131" s="112">
        <v>200</v>
      </c>
      <c r="D131" s="106">
        <v>0.2</v>
      </c>
      <c r="E131" s="106">
        <v>0</v>
      </c>
      <c r="F131" s="106">
        <v>10</v>
      </c>
      <c r="G131" s="111">
        <v>41</v>
      </c>
      <c r="H131" s="111">
        <v>0</v>
      </c>
      <c r="I131" s="106">
        <v>5</v>
      </c>
      <c r="J131" s="106">
        <v>4</v>
      </c>
      <c r="K131" s="106">
        <v>8</v>
      </c>
      <c r="L131" s="106">
        <v>1</v>
      </c>
      <c r="M131" s="106">
        <v>0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06">
        <v>0</v>
      </c>
      <c r="U131" s="310"/>
      <c r="V131" s="219"/>
      <c r="W131" s="220"/>
      <c r="X131" s="219"/>
    </row>
    <row r="132" spans="1:24" ht="27" customHeight="1" thickBot="1">
      <c r="A132" s="352" t="s">
        <v>435</v>
      </c>
      <c r="B132" s="443" t="s">
        <v>397</v>
      </c>
      <c r="C132" s="119">
        <v>130</v>
      </c>
      <c r="D132" s="106">
        <v>0.5</v>
      </c>
      <c r="E132" s="106">
        <v>0.5</v>
      </c>
      <c r="F132" s="106">
        <v>11</v>
      </c>
      <c r="G132" s="118">
        <v>65</v>
      </c>
      <c r="H132" s="118">
        <v>278</v>
      </c>
      <c r="I132" s="106">
        <v>30</v>
      </c>
      <c r="J132" s="106">
        <v>13.5</v>
      </c>
      <c r="K132" s="373">
        <v>30</v>
      </c>
      <c r="L132" s="106">
        <v>0.75</v>
      </c>
      <c r="M132" s="106">
        <v>3</v>
      </c>
      <c r="N132" s="106">
        <v>0.45</v>
      </c>
      <c r="O132" s="106">
        <v>12</v>
      </c>
      <c r="P132" s="106">
        <v>0.045</v>
      </c>
      <c r="Q132" s="106">
        <v>0.03</v>
      </c>
      <c r="R132" s="106">
        <v>15</v>
      </c>
      <c r="S132" s="118">
        <v>7.5</v>
      </c>
      <c r="T132" s="106">
        <v>0</v>
      </c>
      <c r="U132" s="314"/>
      <c r="V132" s="219"/>
      <c r="W132" s="220"/>
      <c r="X132" s="219"/>
    </row>
    <row r="133" spans="1:24" ht="19.5" customHeight="1" thickBot="1">
      <c r="A133" s="321"/>
      <c r="B133" s="322" t="s">
        <v>226</v>
      </c>
      <c r="C133" s="347">
        <f>SUM(C128:C132)</f>
        <v>685</v>
      </c>
      <c r="D133" s="348">
        <f aca="true" t="shared" si="6" ref="D133:T133">SUM(D128:D132)</f>
        <v>19.26</v>
      </c>
      <c r="E133" s="348">
        <f t="shared" si="6"/>
        <v>19.1</v>
      </c>
      <c r="F133" s="348">
        <f t="shared" si="6"/>
        <v>87.36</v>
      </c>
      <c r="G133" s="348">
        <f t="shared" si="6"/>
        <v>590.7</v>
      </c>
      <c r="H133" s="348">
        <f t="shared" si="6"/>
        <v>682</v>
      </c>
      <c r="I133" s="348">
        <f t="shared" si="6"/>
        <v>223.85</v>
      </c>
      <c r="J133" s="348">
        <f t="shared" si="6"/>
        <v>193.95</v>
      </c>
      <c r="K133" s="348">
        <f t="shared" si="6"/>
        <v>108.35</v>
      </c>
      <c r="L133" s="348">
        <f t="shared" si="6"/>
        <v>2.6799999999999997</v>
      </c>
      <c r="M133" s="348">
        <f t="shared" si="6"/>
        <v>21.02</v>
      </c>
      <c r="N133" s="348">
        <f t="shared" si="6"/>
        <v>30.45</v>
      </c>
      <c r="O133" s="348">
        <f t="shared" si="6"/>
        <v>64.8</v>
      </c>
      <c r="P133" s="348">
        <f t="shared" si="6"/>
        <v>0.165</v>
      </c>
      <c r="Q133" s="348">
        <f t="shared" si="6"/>
        <v>0.39</v>
      </c>
      <c r="R133" s="348">
        <f t="shared" si="6"/>
        <v>16.68</v>
      </c>
      <c r="S133" s="348">
        <f t="shared" si="6"/>
        <v>49.3</v>
      </c>
      <c r="T133" s="348">
        <f t="shared" si="6"/>
        <v>0.06999999999999999</v>
      </c>
      <c r="U133" s="327"/>
      <c r="V133" s="221"/>
      <c r="W133" s="220"/>
      <c r="X133" s="219"/>
    </row>
    <row r="134" spans="1:24" ht="19.5" customHeight="1">
      <c r="A134" s="305"/>
      <c r="B134" s="326"/>
      <c r="C134" s="415"/>
      <c r="D134" s="416"/>
      <c r="E134" s="416"/>
      <c r="F134" s="416"/>
      <c r="G134" s="416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  <c r="T134" s="416"/>
      <c r="U134" s="327"/>
      <c r="V134" s="221"/>
      <c r="W134" s="220"/>
      <c r="X134" s="219"/>
    </row>
    <row r="135" spans="1:24" ht="19.5" customHeight="1" thickBot="1">
      <c r="A135" s="305"/>
      <c r="B135" s="326"/>
      <c r="C135" s="415"/>
      <c r="D135" s="416"/>
      <c r="E135" s="298" t="s">
        <v>423</v>
      </c>
      <c r="F135" s="298"/>
      <c r="G135" s="416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  <c r="T135" s="416"/>
      <c r="U135" s="327"/>
      <c r="V135" s="221"/>
      <c r="W135" s="220"/>
      <c r="X135" s="219"/>
    </row>
    <row r="136" spans="1:24" ht="19.5" customHeight="1" thickBot="1">
      <c r="A136" s="465" t="s">
        <v>411</v>
      </c>
      <c r="B136" s="467" t="s">
        <v>11</v>
      </c>
      <c r="C136" s="100" t="s">
        <v>12</v>
      </c>
      <c r="D136" s="469" t="s">
        <v>15</v>
      </c>
      <c r="E136" s="470"/>
      <c r="F136" s="471"/>
      <c r="G136" s="101" t="s">
        <v>16</v>
      </c>
      <c r="H136" s="469" t="s">
        <v>389</v>
      </c>
      <c r="I136" s="472"/>
      <c r="J136" s="472"/>
      <c r="K136" s="472"/>
      <c r="L136" s="472"/>
      <c r="M136" s="472"/>
      <c r="N136" s="472"/>
      <c r="O136" s="473"/>
      <c r="P136" s="469" t="s">
        <v>382</v>
      </c>
      <c r="Q136" s="470"/>
      <c r="R136" s="472"/>
      <c r="S136" s="472"/>
      <c r="T136" s="472"/>
      <c r="U136" s="327"/>
      <c r="V136" s="221"/>
      <c r="W136" s="220"/>
      <c r="X136" s="219"/>
    </row>
    <row r="137" spans="1:24" ht="19.5" customHeight="1" thickBot="1">
      <c r="A137" s="466"/>
      <c r="B137" s="468"/>
      <c r="C137" s="350" t="s">
        <v>17</v>
      </c>
      <c r="D137" s="103" t="s">
        <v>18</v>
      </c>
      <c r="E137" s="103" t="s">
        <v>19</v>
      </c>
      <c r="F137" s="103" t="s">
        <v>20</v>
      </c>
      <c r="G137" s="369" t="s">
        <v>21</v>
      </c>
      <c r="H137" s="367" t="s">
        <v>416</v>
      </c>
      <c r="I137" s="367" t="s">
        <v>383</v>
      </c>
      <c r="J137" s="367" t="s">
        <v>384</v>
      </c>
      <c r="K137" s="367" t="s">
        <v>385</v>
      </c>
      <c r="L137" s="367" t="s">
        <v>386</v>
      </c>
      <c r="M137" s="367" t="s">
        <v>418</v>
      </c>
      <c r="N137" s="368" t="s">
        <v>419</v>
      </c>
      <c r="O137" s="368" t="s">
        <v>420</v>
      </c>
      <c r="P137" s="103" t="s">
        <v>387</v>
      </c>
      <c r="Q137" s="103" t="s">
        <v>414</v>
      </c>
      <c r="R137" s="103" t="s">
        <v>388</v>
      </c>
      <c r="S137" s="103" t="s">
        <v>417</v>
      </c>
      <c r="T137" s="101" t="s">
        <v>415</v>
      </c>
      <c r="U137" s="327"/>
      <c r="V137" s="221"/>
      <c r="W137" s="220"/>
      <c r="X137" s="219"/>
    </row>
    <row r="138" spans="1:24" ht="19.5" customHeight="1" thickBot="1">
      <c r="A138" s="299"/>
      <c r="B138" s="300" t="s">
        <v>22</v>
      </c>
      <c r="C138" s="301"/>
      <c r="D138" s="302"/>
      <c r="E138" s="302"/>
      <c r="F138" s="302"/>
      <c r="G138" s="302"/>
      <c r="H138" s="302"/>
      <c r="I138" s="302"/>
      <c r="J138" s="302"/>
      <c r="K138" s="302"/>
      <c r="L138" s="302"/>
      <c r="M138" s="302"/>
      <c r="N138" s="302"/>
      <c r="O138" s="302"/>
      <c r="P138" s="302"/>
      <c r="Q138" s="302"/>
      <c r="R138" s="302"/>
      <c r="S138" s="302"/>
      <c r="T138" s="303"/>
      <c r="U138" s="327"/>
      <c r="V138" s="221"/>
      <c r="W138" s="220"/>
      <c r="X138" s="219"/>
    </row>
    <row r="139" spans="1:24" ht="33.75" customHeight="1">
      <c r="A139" s="445" t="s">
        <v>443</v>
      </c>
      <c r="B139" s="437" t="s">
        <v>444</v>
      </c>
      <c r="C139" s="341">
        <v>180</v>
      </c>
      <c r="D139" s="130">
        <v>14.6</v>
      </c>
      <c r="E139" s="130">
        <v>14.27</v>
      </c>
      <c r="F139" s="130">
        <v>35</v>
      </c>
      <c r="G139" s="410">
        <v>337.5</v>
      </c>
      <c r="H139" s="410">
        <v>92</v>
      </c>
      <c r="I139" s="130">
        <v>37.1</v>
      </c>
      <c r="J139" s="130">
        <v>5.2</v>
      </c>
      <c r="K139" s="385">
        <v>34.9</v>
      </c>
      <c r="L139" s="130">
        <v>0.18</v>
      </c>
      <c r="M139" s="130">
        <v>7.92</v>
      </c>
      <c r="N139" s="130">
        <v>26</v>
      </c>
      <c r="O139" s="130">
        <v>28</v>
      </c>
      <c r="P139" s="130">
        <v>0.02</v>
      </c>
      <c r="Q139" s="130">
        <v>0.2</v>
      </c>
      <c r="R139" s="130">
        <v>0.12</v>
      </c>
      <c r="S139" s="130">
        <v>19.8</v>
      </c>
      <c r="T139" s="130">
        <v>0.01</v>
      </c>
      <c r="U139" s="327"/>
      <c r="V139" s="221"/>
      <c r="W139" s="220"/>
      <c r="X139" s="219"/>
    </row>
    <row r="140" spans="1:24" ht="19.5" customHeight="1">
      <c r="A140" s="351" t="s">
        <v>406</v>
      </c>
      <c r="B140" s="320" t="s">
        <v>464</v>
      </c>
      <c r="C140" s="341">
        <v>60</v>
      </c>
      <c r="D140" s="106">
        <v>3.88</v>
      </c>
      <c r="E140" s="106">
        <v>3.2</v>
      </c>
      <c r="F140" s="106">
        <v>12.85</v>
      </c>
      <c r="G140" s="118">
        <v>80.7</v>
      </c>
      <c r="H140" s="118">
        <v>166</v>
      </c>
      <c r="I140" s="106">
        <v>4.75</v>
      </c>
      <c r="J140" s="106">
        <v>16.25</v>
      </c>
      <c r="K140" s="106">
        <v>3.25</v>
      </c>
      <c r="L140" s="106">
        <v>0.3</v>
      </c>
      <c r="M140" s="106">
        <v>1.1</v>
      </c>
      <c r="N140" s="106">
        <v>2</v>
      </c>
      <c r="O140" s="106">
        <v>4.8</v>
      </c>
      <c r="P140" s="106">
        <v>0.03</v>
      </c>
      <c r="Q140" s="106">
        <v>0.01</v>
      </c>
      <c r="R140" s="106">
        <v>0</v>
      </c>
      <c r="S140" s="106">
        <v>0</v>
      </c>
      <c r="T140" s="106">
        <v>0</v>
      </c>
      <c r="U140" s="327"/>
      <c r="V140" s="221"/>
      <c r="W140" s="220"/>
      <c r="X140" s="219"/>
    </row>
    <row r="141" spans="1:24" ht="19.5" customHeight="1">
      <c r="A141" s="351" t="s">
        <v>310</v>
      </c>
      <c r="B141" s="320" t="s">
        <v>429</v>
      </c>
      <c r="C141" s="341">
        <v>52</v>
      </c>
      <c r="D141" s="106">
        <v>1.88</v>
      </c>
      <c r="E141" s="106">
        <v>0.2</v>
      </c>
      <c r="F141" s="106">
        <v>12.85</v>
      </c>
      <c r="G141" s="118">
        <v>60.7</v>
      </c>
      <c r="H141" s="118">
        <v>58.1</v>
      </c>
      <c r="I141" s="106">
        <v>4.75</v>
      </c>
      <c r="J141" s="106">
        <v>16.25</v>
      </c>
      <c r="K141" s="106">
        <v>3.25</v>
      </c>
      <c r="L141" s="106">
        <v>0.3</v>
      </c>
      <c r="M141" s="106">
        <v>0.06</v>
      </c>
      <c r="N141" s="106">
        <v>13.51</v>
      </c>
      <c r="O141" s="373">
        <v>24.2</v>
      </c>
      <c r="P141" s="106">
        <v>0.03</v>
      </c>
      <c r="Q141" s="106">
        <v>0.176</v>
      </c>
      <c r="R141" s="106">
        <v>0</v>
      </c>
      <c r="S141" s="106">
        <v>0</v>
      </c>
      <c r="T141" s="118">
        <v>78</v>
      </c>
      <c r="U141" s="327"/>
      <c r="V141" s="221"/>
      <c r="W141" s="220"/>
      <c r="X141" s="219"/>
    </row>
    <row r="142" spans="1:24" ht="20.25" customHeight="1">
      <c r="A142" s="352" t="s">
        <v>31</v>
      </c>
      <c r="B142" s="342" t="s">
        <v>381</v>
      </c>
      <c r="C142" s="119">
        <v>200</v>
      </c>
      <c r="D142" s="106">
        <v>3.77</v>
      </c>
      <c r="E142" s="106">
        <v>2.5</v>
      </c>
      <c r="F142" s="106">
        <v>26</v>
      </c>
      <c r="G142" s="118">
        <v>151.28</v>
      </c>
      <c r="H142" s="118">
        <v>146</v>
      </c>
      <c r="I142" s="118">
        <v>221</v>
      </c>
      <c r="J142" s="118">
        <v>14</v>
      </c>
      <c r="K142" s="118">
        <v>3.2</v>
      </c>
      <c r="L142" s="118">
        <v>1</v>
      </c>
      <c r="M142" s="118">
        <v>0.9</v>
      </c>
      <c r="N142" s="118">
        <v>2</v>
      </c>
      <c r="O142" s="118">
        <v>20</v>
      </c>
      <c r="P142" s="118">
        <v>0.3</v>
      </c>
      <c r="Q142" s="118">
        <v>0.15</v>
      </c>
      <c r="R142" s="118">
        <v>15</v>
      </c>
      <c r="S142" s="365">
        <v>130</v>
      </c>
      <c r="T142" s="118">
        <v>2.5</v>
      </c>
      <c r="U142" s="327"/>
      <c r="V142" s="221"/>
      <c r="W142" s="220"/>
      <c r="X142" s="219"/>
    </row>
    <row r="143" spans="1:24" ht="24" customHeight="1" thickBot="1">
      <c r="A143" s="352" t="s">
        <v>435</v>
      </c>
      <c r="B143" s="342" t="s">
        <v>397</v>
      </c>
      <c r="C143" s="119">
        <v>130</v>
      </c>
      <c r="D143" s="106">
        <v>0.5</v>
      </c>
      <c r="E143" s="106">
        <v>0.5</v>
      </c>
      <c r="F143" s="106">
        <v>11</v>
      </c>
      <c r="G143" s="118">
        <v>55.9</v>
      </c>
      <c r="H143" s="118">
        <v>278</v>
      </c>
      <c r="I143" s="106">
        <v>30</v>
      </c>
      <c r="J143" s="106">
        <v>13.5</v>
      </c>
      <c r="K143" s="373">
        <v>30</v>
      </c>
      <c r="L143" s="106">
        <v>0.75</v>
      </c>
      <c r="M143" s="106">
        <v>3</v>
      </c>
      <c r="N143" s="106">
        <v>0.45</v>
      </c>
      <c r="O143" s="106">
        <v>12</v>
      </c>
      <c r="P143" s="106">
        <v>0.045</v>
      </c>
      <c r="Q143" s="106">
        <v>0.03</v>
      </c>
      <c r="R143" s="106">
        <v>15</v>
      </c>
      <c r="S143" s="118">
        <v>7.5</v>
      </c>
      <c r="T143" s="106">
        <v>0</v>
      </c>
      <c r="U143" s="327"/>
      <c r="V143" s="221"/>
      <c r="W143" s="220"/>
      <c r="X143" s="219"/>
    </row>
    <row r="144" spans="1:24" ht="19.5" customHeight="1" thickBot="1">
      <c r="A144" s="321"/>
      <c r="B144" s="322" t="s">
        <v>226</v>
      </c>
      <c r="C144" s="347">
        <f>SUM(C139:C143)</f>
        <v>622</v>
      </c>
      <c r="D144" s="348">
        <f aca="true" t="shared" si="7" ref="D144:T144">SUM(D139:D143)</f>
        <v>24.63</v>
      </c>
      <c r="E144" s="348">
        <f t="shared" si="7"/>
        <v>20.669999999999998</v>
      </c>
      <c r="F144" s="348">
        <f t="shared" si="7"/>
        <v>97.7</v>
      </c>
      <c r="G144" s="348">
        <f t="shared" si="7"/>
        <v>686.0799999999999</v>
      </c>
      <c r="H144" s="348">
        <f t="shared" si="7"/>
        <v>740.1</v>
      </c>
      <c r="I144" s="348">
        <f t="shared" si="7"/>
        <v>297.6</v>
      </c>
      <c r="J144" s="348">
        <f t="shared" si="7"/>
        <v>65.2</v>
      </c>
      <c r="K144" s="348">
        <f t="shared" si="7"/>
        <v>74.6</v>
      </c>
      <c r="L144" s="348">
        <f t="shared" si="7"/>
        <v>2.5300000000000002</v>
      </c>
      <c r="M144" s="348">
        <f t="shared" si="7"/>
        <v>12.98</v>
      </c>
      <c r="N144" s="348">
        <f t="shared" si="7"/>
        <v>43.96</v>
      </c>
      <c r="O144" s="348">
        <f t="shared" si="7"/>
        <v>89</v>
      </c>
      <c r="P144" s="348">
        <f t="shared" si="7"/>
        <v>0.425</v>
      </c>
      <c r="Q144" s="348">
        <f t="shared" si="7"/>
        <v>0.5660000000000001</v>
      </c>
      <c r="R144" s="348">
        <f t="shared" si="7"/>
        <v>30.119999999999997</v>
      </c>
      <c r="S144" s="348">
        <f t="shared" si="7"/>
        <v>157.3</v>
      </c>
      <c r="T144" s="348">
        <f t="shared" si="7"/>
        <v>80.51</v>
      </c>
      <c r="U144" s="327"/>
      <c r="V144" s="221"/>
      <c r="W144" s="220"/>
      <c r="X144" s="219"/>
    </row>
    <row r="145" spans="1:24" ht="19.5" customHeight="1">
      <c r="A145" s="305"/>
      <c r="B145" s="326"/>
      <c r="C145" s="415"/>
      <c r="D145" s="416"/>
      <c r="E145" s="416"/>
      <c r="F145" s="416"/>
      <c r="G145" s="416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  <c r="T145" s="416"/>
      <c r="U145" s="327"/>
      <c r="V145" s="221"/>
      <c r="W145" s="220"/>
      <c r="X145" s="219"/>
    </row>
    <row r="146" spans="1:24" ht="19.5" customHeight="1">
      <c r="A146" s="305"/>
      <c r="B146" s="326"/>
      <c r="C146" s="415"/>
      <c r="D146" s="416"/>
      <c r="E146" s="416"/>
      <c r="F146" s="416"/>
      <c r="G146" s="41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  <c r="T146" s="416"/>
      <c r="U146" s="327"/>
      <c r="V146" s="221"/>
      <c r="W146" s="220"/>
      <c r="X146" s="219"/>
    </row>
    <row r="147" spans="4:20" ht="16.5" customHeight="1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4:20" ht="16.5" customHeight="1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2:20" ht="16.5" customHeight="1">
      <c r="B149" s="325" t="s">
        <v>106</v>
      </c>
      <c r="D149" s="6"/>
      <c r="E149" s="298" t="s">
        <v>422</v>
      </c>
      <c r="F149" s="298"/>
      <c r="G149" s="6"/>
      <c r="H149" s="298" t="s">
        <v>436</v>
      </c>
      <c r="I149" s="298"/>
      <c r="J149" s="298"/>
      <c r="K149" s="298"/>
      <c r="L149" s="6"/>
      <c r="M149" s="6"/>
      <c r="N149" s="6"/>
      <c r="O149" s="6"/>
      <c r="P149" s="6"/>
      <c r="Q149" s="6"/>
      <c r="R149" s="6"/>
      <c r="S149" s="6"/>
      <c r="T149" s="6"/>
    </row>
    <row r="150" spans="2:20" ht="16.5" customHeight="1">
      <c r="B150" s="325" t="s">
        <v>107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1" ht="16.5" customHeight="1">
      <c r="A151" s="295"/>
      <c r="B151" s="325" t="s">
        <v>473</v>
      </c>
      <c r="C151" s="295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5"/>
    </row>
    <row r="152" spans="1:23" ht="16.5" customHeight="1">
      <c r="A152" s="295"/>
      <c r="B152" s="20" t="s">
        <v>433</v>
      </c>
      <c r="C152" s="316"/>
      <c r="D152" s="40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5"/>
      <c r="W152" s="6"/>
    </row>
    <row r="153" spans="1:23" ht="16.5" customHeight="1" thickBot="1">
      <c r="A153" s="295"/>
      <c r="B153" s="69"/>
      <c r="C153" s="41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W153" s="6"/>
    </row>
    <row r="154" spans="1:23" ht="16.5" customHeight="1" thickBot="1">
      <c r="A154" s="465" t="s">
        <v>411</v>
      </c>
      <c r="B154" s="467" t="s">
        <v>11</v>
      </c>
      <c r="C154" s="100" t="s">
        <v>12</v>
      </c>
      <c r="D154" s="469" t="s">
        <v>15</v>
      </c>
      <c r="E154" s="470"/>
      <c r="F154" s="471"/>
      <c r="G154" s="101" t="s">
        <v>16</v>
      </c>
      <c r="H154" s="469" t="s">
        <v>389</v>
      </c>
      <c r="I154" s="472"/>
      <c r="J154" s="472"/>
      <c r="K154" s="472"/>
      <c r="L154" s="472"/>
      <c r="M154" s="472"/>
      <c r="N154" s="472"/>
      <c r="O154" s="473"/>
      <c r="P154" s="469" t="s">
        <v>382</v>
      </c>
      <c r="Q154" s="470"/>
      <c r="R154" s="472"/>
      <c r="S154" s="472"/>
      <c r="T154" s="472"/>
      <c r="U154" s="360"/>
      <c r="W154" s="6"/>
    </row>
    <row r="155" spans="1:23" ht="30.75" customHeight="1" thickBot="1">
      <c r="A155" s="466"/>
      <c r="B155" s="474"/>
      <c r="C155" s="350" t="s">
        <v>17</v>
      </c>
      <c r="D155" s="103" t="s">
        <v>18</v>
      </c>
      <c r="E155" s="103" t="s">
        <v>19</v>
      </c>
      <c r="F155" s="103" t="s">
        <v>20</v>
      </c>
      <c r="G155" s="369" t="s">
        <v>21</v>
      </c>
      <c r="H155" s="367" t="s">
        <v>416</v>
      </c>
      <c r="I155" s="367" t="s">
        <v>383</v>
      </c>
      <c r="J155" s="367" t="s">
        <v>384</v>
      </c>
      <c r="K155" s="367" t="s">
        <v>385</v>
      </c>
      <c r="L155" s="367" t="s">
        <v>386</v>
      </c>
      <c r="M155" s="367" t="s">
        <v>418</v>
      </c>
      <c r="N155" s="368" t="s">
        <v>419</v>
      </c>
      <c r="O155" s="368" t="s">
        <v>420</v>
      </c>
      <c r="P155" s="103" t="s">
        <v>387</v>
      </c>
      <c r="Q155" s="103" t="s">
        <v>414</v>
      </c>
      <c r="R155" s="103" t="s">
        <v>388</v>
      </c>
      <c r="S155" s="103" t="s">
        <v>417</v>
      </c>
      <c r="T155" s="101" t="s">
        <v>415</v>
      </c>
      <c r="U155" s="57"/>
      <c r="W155" s="6"/>
    </row>
    <row r="156" spans="1:23" ht="16.5" customHeight="1" thickBot="1">
      <c r="A156" s="299"/>
      <c r="B156" s="300" t="s">
        <v>22</v>
      </c>
      <c r="C156" s="301"/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2"/>
      <c r="R156" s="302"/>
      <c r="S156" s="302"/>
      <c r="T156" s="303"/>
      <c r="U156" s="323"/>
      <c r="W156" s="6"/>
    </row>
    <row r="157" spans="1:23" ht="35.25" customHeight="1">
      <c r="A157" s="435" t="s">
        <v>412</v>
      </c>
      <c r="B157" s="320" t="s">
        <v>413</v>
      </c>
      <c r="C157" s="341">
        <v>200</v>
      </c>
      <c r="D157" s="130">
        <v>16.68</v>
      </c>
      <c r="E157" s="130">
        <v>17.16</v>
      </c>
      <c r="F157" s="130">
        <v>11.3</v>
      </c>
      <c r="G157" s="410">
        <v>310</v>
      </c>
      <c r="H157" s="410">
        <v>235.3</v>
      </c>
      <c r="I157" s="410">
        <v>152</v>
      </c>
      <c r="J157" s="385">
        <v>26.27</v>
      </c>
      <c r="K157" s="385">
        <v>344</v>
      </c>
      <c r="L157" s="130">
        <v>3.87</v>
      </c>
      <c r="M157" s="130">
        <v>28.75</v>
      </c>
      <c r="N157" s="130">
        <v>37.09</v>
      </c>
      <c r="O157" s="130">
        <v>76.27</v>
      </c>
      <c r="P157" s="130">
        <v>0.13</v>
      </c>
      <c r="Q157" s="130">
        <v>1.32</v>
      </c>
      <c r="R157" s="130">
        <v>0.48</v>
      </c>
      <c r="S157" s="430">
        <v>392</v>
      </c>
      <c r="T157" s="130">
        <v>2.93</v>
      </c>
      <c r="U157" s="306"/>
      <c r="W157" s="6"/>
    </row>
    <row r="158" spans="1:23" ht="27" customHeight="1">
      <c r="A158" s="516" t="s">
        <v>406</v>
      </c>
      <c r="B158" s="320" t="s">
        <v>480</v>
      </c>
      <c r="C158" s="341">
        <v>60</v>
      </c>
      <c r="D158" s="106">
        <v>6.48</v>
      </c>
      <c r="E158" s="106">
        <v>6.1</v>
      </c>
      <c r="F158" s="106">
        <v>27.85</v>
      </c>
      <c r="G158" s="118">
        <v>133.3</v>
      </c>
      <c r="H158" s="118">
        <v>195</v>
      </c>
      <c r="I158" s="106">
        <v>180.75</v>
      </c>
      <c r="J158" s="106">
        <v>25.25</v>
      </c>
      <c r="K158" s="373">
        <v>133.3</v>
      </c>
      <c r="L158" s="106">
        <v>0.5</v>
      </c>
      <c r="M158" s="106">
        <v>1.1</v>
      </c>
      <c r="N158" s="106">
        <v>4.9</v>
      </c>
      <c r="O158" s="106">
        <v>4.8</v>
      </c>
      <c r="P158" s="106">
        <v>0.04</v>
      </c>
      <c r="Q158" s="106">
        <v>0.07</v>
      </c>
      <c r="R158" s="106">
        <v>0.14</v>
      </c>
      <c r="S158" s="106">
        <v>52</v>
      </c>
      <c r="T158" s="106">
        <v>0.19</v>
      </c>
      <c r="U158" s="306"/>
      <c r="W158" s="6"/>
    </row>
    <row r="159" spans="1:23" ht="30" customHeight="1">
      <c r="A159" s="116" t="s">
        <v>343</v>
      </c>
      <c r="B159" s="342" t="s">
        <v>366</v>
      </c>
      <c r="C159" s="119">
        <v>200</v>
      </c>
      <c r="D159" s="106">
        <v>1.5</v>
      </c>
      <c r="E159" s="106">
        <v>1.3</v>
      </c>
      <c r="F159" s="106">
        <v>22.4</v>
      </c>
      <c r="G159" s="118">
        <v>107</v>
      </c>
      <c r="H159" s="118">
        <v>168</v>
      </c>
      <c r="I159" s="106">
        <v>161</v>
      </c>
      <c r="J159" s="106">
        <v>7</v>
      </c>
      <c r="K159" s="373">
        <v>145</v>
      </c>
      <c r="L159" s="106">
        <v>1</v>
      </c>
      <c r="M159" s="106">
        <v>9</v>
      </c>
      <c r="N159" s="106">
        <v>2</v>
      </c>
      <c r="O159" s="106">
        <v>20</v>
      </c>
      <c r="P159" s="106">
        <v>0.02</v>
      </c>
      <c r="Q159" s="106">
        <v>0.15</v>
      </c>
      <c r="R159" s="106">
        <v>1</v>
      </c>
      <c r="S159" s="106">
        <v>23.8</v>
      </c>
      <c r="T159" s="106">
        <v>0</v>
      </c>
      <c r="U159" s="306"/>
      <c r="W159" s="6"/>
    </row>
    <row r="160" spans="1:23" ht="24.75" customHeight="1" thickBot="1">
      <c r="A160" s="403" t="s">
        <v>367</v>
      </c>
      <c r="B160" s="343" t="s">
        <v>400</v>
      </c>
      <c r="C160" s="372">
        <v>115</v>
      </c>
      <c r="D160" s="358">
        <v>2.9</v>
      </c>
      <c r="E160" s="358">
        <v>3.5</v>
      </c>
      <c r="F160" s="358">
        <v>21.3</v>
      </c>
      <c r="G160" s="358">
        <v>88</v>
      </c>
      <c r="H160" s="358">
        <v>129</v>
      </c>
      <c r="I160" s="358">
        <v>235</v>
      </c>
      <c r="J160" s="358">
        <v>30</v>
      </c>
      <c r="K160" s="359">
        <v>196</v>
      </c>
      <c r="L160" s="358">
        <v>0</v>
      </c>
      <c r="M160" s="358">
        <v>0</v>
      </c>
      <c r="N160" s="358">
        <v>0</v>
      </c>
      <c r="O160" s="358">
        <v>0</v>
      </c>
      <c r="P160" s="358">
        <v>0.2</v>
      </c>
      <c r="Q160" s="358">
        <v>0.2</v>
      </c>
      <c r="R160" s="358">
        <v>2</v>
      </c>
      <c r="S160" s="358">
        <v>22</v>
      </c>
      <c r="T160" s="358">
        <v>0</v>
      </c>
      <c r="U160" s="314"/>
      <c r="W160" s="6"/>
    </row>
    <row r="161" spans="1:23" ht="21.75" customHeight="1" thickBot="1">
      <c r="A161" s="293"/>
      <c r="B161" s="433" t="s">
        <v>226</v>
      </c>
      <c r="C161" s="347">
        <f>SUM(C157:C160)</f>
        <v>575</v>
      </c>
      <c r="D161" s="396">
        <f>SUM(D157:D160)</f>
        <v>27.56</v>
      </c>
      <c r="E161" s="396">
        <f>SUM(E157:E160)</f>
        <v>28.06</v>
      </c>
      <c r="F161" s="393">
        <f>SUM(F157:F160)</f>
        <v>82.85000000000001</v>
      </c>
      <c r="G161" s="393">
        <f>SUM(G157:G160)</f>
        <v>638.3</v>
      </c>
      <c r="H161" s="393">
        <f>SUM(H157:H160)</f>
        <v>727.3</v>
      </c>
      <c r="I161" s="347">
        <f>SUM(I157:I160)</f>
        <v>728.75</v>
      </c>
      <c r="J161" s="347">
        <f>SUM(J157:J160)</f>
        <v>88.52</v>
      </c>
      <c r="K161" s="347">
        <f>SUM(K157:K160)</f>
        <v>818.3</v>
      </c>
      <c r="L161" s="347">
        <f>SUM(L157:L160)</f>
        <v>5.37</v>
      </c>
      <c r="M161" s="347">
        <f>SUM(M157:M160)</f>
        <v>38.85</v>
      </c>
      <c r="N161" s="347">
        <f>SUM(N157:N160)</f>
        <v>43.99</v>
      </c>
      <c r="O161" s="347">
        <f>SUM(O157:O160)</f>
        <v>101.07</v>
      </c>
      <c r="P161" s="347">
        <f>SUM(P157:P160)</f>
        <v>0.39</v>
      </c>
      <c r="Q161" s="347">
        <f>SUM(Q157:Q160)</f>
        <v>1.74</v>
      </c>
      <c r="R161" s="347">
        <f>SUM(R157:R160)</f>
        <v>3.62</v>
      </c>
      <c r="S161" s="347">
        <f>SUM(S157:S160)</f>
        <v>489.8</v>
      </c>
      <c r="T161" s="347">
        <f>SUM(T157:T160)</f>
        <v>3.12</v>
      </c>
      <c r="U161" s="363"/>
      <c r="W161" s="6"/>
    </row>
    <row r="162" spans="1:23" ht="21.75" customHeight="1" thickBot="1">
      <c r="A162" s="295"/>
      <c r="B162" s="69"/>
      <c r="C162" s="41"/>
      <c r="D162" s="40"/>
      <c r="E162" s="298" t="s">
        <v>423</v>
      </c>
      <c r="F162" s="298"/>
      <c r="G162" s="298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363"/>
      <c r="W162" s="6"/>
    </row>
    <row r="163" spans="1:23" ht="21.75" customHeight="1" thickBot="1">
      <c r="A163" s="465" t="s">
        <v>411</v>
      </c>
      <c r="B163" s="467" t="s">
        <v>11</v>
      </c>
      <c r="C163" s="236" t="s">
        <v>12</v>
      </c>
      <c r="D163" s="475" t="s">
        <v>15</v>
      </c>
      <c r="E163" s="478"/>
      <c r="F163" s="479"/>
      <c r="G163" s="455" t="s">
        <v>16</v>
      </c>
      <c r="H163" s="475" t="s">
        <v>389</v>
      </c>
      <c r="I163" s="476"/>
      <c r="J163" s="476"/>
      <c r="K163" s="476"/>
      <c r="L163" s="476"/>
      <c r="M163" s="476"/>
      <c r="N163" s="476"/>
      <c r="O163" s="477"/>
      <c r="P163" s="475" t="s">
        <v>382</v>
      </c>
      <c r="Q163" s="478"/>
      <c r="R163" s="476"/>
      <c r="S163" s="476"/>
      <c r="T163" s="476"/>
      <c r="U163" s="363"/>
      <c r="W163" s="6"/>
    </row>
    <row r="164" spans="1:23" ht="34.5" customHeight="1" thickBot="1">
      <c r="A164" s="466"/>
      <c r="B164" s="474"/>
      <c r="C164" s="456" t="s">
        <v>17</v>
      </c>
      <c r="D164" s="98" t="s">
        <v>18</v>
      </c>
      <c r="E164" s="98" t="s">
        <v>19</v>
      </c>
      <c r="F164" s="98" t="s">
        <v>20</v>
      </c>
      <c r="G164" s="457" t="s">
        <v>21</v>
      </c>
      <c r="H164" s="98" t="s">
        <v>416</v>
      </c>
      <c r="I164" s="98" t="s">
        <v>383</v>
      </c>
      <c r="J164" s="98" t="s">
        <v>384</v>
      </c>
      <c r="K164" s="98" t="s">
        <v>385</v>
      </c>
      <c r="L164" s="98" t="s">
        <v>386</v>
      </c>
      <c r="M164" s="98" t="s">
        <v>418</v>
      </c>
      <c r="N164" s="98" t="s">
        <v>419</v>
      </c>
      <c r="O164" s="98" t="s">
        <v>420</v>
      </c>
      <c r="P164" s="98" t="s">
        <v>387</v>
      </c>
      <c r="Q164" s="98" t="s">
        <v>414</v>
      </c>
      <c r="R164" s="98" t="s">
        <v>388</v>
      </c>
      <c r="S164" s="98" t="s">
        <v>417</v>
      </c>
      <c r="T164" s="98" t="s">
        <v>415</v>
      </c>
      <c r="U164" s="363"/>
      <c r="W164" s="6"/>
    </row>
    <row r="165" spans="1:23" ht="21.75" customHeight="1" thickBot="1">
      <c r="A165" s="299"/>
      <c r="B165" s="300" t="s">
        <v>22</v>
      </c>
      <c r="C165" s="301"/>
      <c r="D165" s="302"/>
      <c r="E165" s="302"/>
      <c r="F165" s="302"/>
      <c r="G165" s="302"/>
      <c r="H165" s="302"/>
      <c r="I165" s="302"/>
      <c r="J165" s="302"/>
      <c r="K165" s="302"/>
      <c r="L165" s="302"/>
      <c r="M165" s="302"/>
      <c r="N165" s="302"/>
      <c r="O165" s="302"/>
      <c r="P165" s="302"/>
      <c r="Q165" s="302"/>
      <c r="R165" s="302"/>
      <c r="S165" s="302"/>
      <c r="T165" s="303"/>
      <c r="U165" s="363"/>
      <c r="W165" s="6"/>
    </row>
    <row r="166" spans="1:23" ht="40.5" customHeight="1">
      <c r="A166" s="337" t="s">
        <v>390</v>
      </c>
      <c r="B166" s="320" t="s">
        <v>424</v>
      </c>
      <c r="C166" s="341">
        <v>205</v>
      </c>
      <c r="D166" s="130">
        <v>5.56</v>
      </c>
      <c r="E166" s="130">
        <v>7.77</v>
      </c>
      <c r="F166" s="130">
        <v>32.86</v>
      </c>
      <c r="G166" s="425">
        <v>223.6</v>
      </c>
      <c r="H166" s="425">
        <v>163.18</v>
      </c>
      <c r="I166" s="425">
        <v>147</v>
      </c>
      <c r="J166" s="425">
        <v>155</v>
      </c>
      <c r="K166" s="384">
        <v>32.2</v>
      </c>
      <c r="L166" s="384">
        <v>0.45</v>
      </c>
      <c r="M166" s="384">
        <v>8.5</v>
      </c>
      <c r="N166" s="384">
        <v>7.26</v>
      </c>
      <c r="O166" s="425">
        <v>39.7</v>
      </c>
      <c r="P166" s="384">
        <v>0.07</v>
      </c>
      <c r="Q166" s="384">
        <v>0.14</v>
      </c>
      <c r="R166" s="384">
        <v>1.56</v>
      </c>
      <c r="S166" s="384">
        <v>44</v>
      </c>
      <c r="T166" s="384">
        <v>0.65</v>
      </c>
      <c r="U166" s="363"/>
      <c r="W166" s="6"/>
    </row>
    <row r="167" spans="1:23" ht="30" customHeight="1">
      <c r="A167" s="351" t="s">
        <v>465</v>
      </c>
      <c r="B167" s="291" t="s">
        <v>466</v>
      </c>
      <c r="C167" s="119">
        <v>85</v>
      </c>
      <c r="D167" s="106">
        <v>10.3</v>
      </c>
      <c r="E167" s="106">
        <v>10.5</v>
      </c>
      <c r="F167" s="106">
        <v>17</v>
      </c>
      <c r="G167" s="118">
        <v>207</v>
      </c>
      <c r="H167" s="118">
        <v>146</v>
      </c>
      <c r="I167" s="118">
        <v>221</v>
      </c>
      <c r="J167" s="118">
        <v>14</v>
      </c>
      <c r="K167" s="118">
        <v>3.2</v>
      </c>
      <c r="L167" s="118">
        <v>1</v>
      </c>
      <c r="M167" s="118">
        <v>0.9</v>
      </c>
      <c r="N167" s="118">
        <v>2</v>
      </c>
      <c r="O167" s="118">
        <v>20</v>
      </c>
      <c r="P167" s="118">
        <v>0.05</v>
      </c>
      <c r="Q167" s="118">
        <v>0.15</v>
      </c>
      <c r="R167" s="118">
        <v>0.31</v>
      </c>
      <c r="S167" s="365">
        <v>29.6</v>
      </c>
      <c r="T167" s="118">
        <v>0.05</v>
      </c>
      <c r="U167" s="363"/>
      <c r="W167" s="6"/>
    </row>
    <row r="168" spans="1:23" ht="21.75" customHeight="1">
      <c r="A168" s="178" t="s">
        <v>432</v>
      </c>
      <c r="B168" s="292" t="s">
        <v>430</v>
      </c>
      <c r="C168" s="112">
        <v>200</v>
      </c>
      <c r="D168" s="106">
        <v>0.3</v>
      </c>
      <c r="E168" s="106">
        <v>0</v>
      </c>
      <c r="F168" s="106">
        <v>15</v>
      </c>
      <c r="G168" s="111">
        <v>49.5</v>
      </c>
      <c r="H168" s="111">
        <v>10.8</v>
      </c>
      <c r="I168" s="106">
        <v>8</v>
      </c>
      <c r="J168" s="106">
        <v>5</v>
      </c>
      <c r="K168" s="106">
        <v>10</v>
      </c>
      <c r="L168" s="106">
        <v>1</v>
      </c>
      <c r="M168" s="106">
        <v>0</v>
      </c>
      <c r="N168" s="106">
        <v>0.02</v>
      </c>
      <c r="O168" s="106">
        <v>0.7</v>
      </c>
      <c r="P168" s="106">
        <v>0</v>
      </c>
      <c r="Q168" s="106">
        <v>0</v>
      </c>
      <c r="R168" s="106">
        <v>15</v>
      </c>
      <c r="S168" s="106">
        <v>0</v>
      </c>
      <c r="T168" s="106">
        <v>0</v>
      </c>
      <c r="U168" s="363"/>
      <c r="W168" s="6"/>
    </row>
    <row r="169" spans="1:23" ht="21.75" customHeight="1" thickBot="1">
      <c r="A169" s="294" t="s">
        <v>408</v>
      </c>
      <c r="B169" s="116" t="s">
        <v>397</v>
      </c>
      <c r="C169" s="159">
        <v>130</v>
      </c>
      <c r="D169" s="106">
        <v>0.2</v>
      </c>
      <c r="E169" s="106">
        <v>0.2</v>
      </c>
      <c r="F169" s="394">
        <v>9.5</v>
      </c>
      <c r="G169" s="106">
        <v>55.9</v>
      </c>
      <c r="H169" s="394">
        <v>278</v>
      </c>
      <c r="I169" s="106">
        <v>85</v>
      </c>
      <c r="J169" s="106">
        <v>32.5</v>
      </c>
      <c r="K169" s="394">
        <v>57.5</v>
      </c>
      <c r="L169" s="106">
        <v>0.01</v>
      </c>
      <c r="M169" s="394">
        <v>5</v>
      </c>
      <c r="N169" s="106">
        <v>1.25</v>
      </c>
      <c r="O169" s="394">
        <v>42.5</v>
      </c>
      <c r="P169" s="106">
        <v>0.1</v>
      </c>
      <c r="Q169" s="106">
        <v>0.075</v>
      </c>
      <c r="R169" s="394">
        <v>60</v>
      </c>
      <c r="S169" s="106">
        <v>16</v>
      </c>
      <c r="T169" s="106">
        <v>0</v>
      </c>
      <c r="U169" s="363"/>
      <c r="W169" s="6"/>
    </row>
    <row r="170" spans="1:23" ht="21.75" customHeight="1" thickBot="1">
      <c r="A170" s="293"/>
      <c r="B170" s="293" t="s">
        <v>226</v>
      </c>
      <c r="C170" s="347">
        <f>SUM(C166:C168)</f>
        <v>490</v>
      </c>
      <c r="D170" s="393">
        <f>SUM(D166:D169)</f>
        <v>16.36</v>
      </c>
      <c r="E170" s="393">
        <f>SUM(E166:E169)</f>
        <v>18.47</v>
      </c>
      <c r="F170" s="393">
        <f>SUM(F166:F169)</f>
        <v>74.36</v>
      </c>
      <c r="G170" s="393">
        <f>SUM(G166:G169)</f>
        <v>536</v>
      </c>
      <c r="H170" s="393">
        <f>SUM(H166:H169)</f>
        <v>597.98</v>
      </c>
      <c r="I170" s="393">
        <f>SUM(I166:I169)</f>
        <v>461</v>
      </c>
      <c r="J170" s="393">
        <f>SUM(J166:J169)</f>
        <v>206.5</v>
      </c>
      <c r="K170" s="393">
        <f>SUM(K166:K169)</f>
        <v>102.9</v>
      </c>
      <c r="L170" s="393">
        <f>SUM(L166:L169)</f>
        <v>2.46</v>
      </c>
      <c r="M170" s="393">
        <f>SUM(M166:M169)</f>
        <v>14.4</v>
      </c>
      <c r="N170" s="393">
        <f>SUM(N166:N169)</f>
        <v>10.53</v>
      </c>
      <c r="O170" s="347">
        <f>SUM(O166:O169)</f>
        <v>102.9</v>
      </c>
      <c r="P170" s="393">
        <f>SUM(P166:P169)</f>
        <v>0.22000000000000003</v>
      </c>
      <c r="Q170" s="393">
        <f>SUM(Q166:Q169)</f>
        <v>0.36500000000000005</v>
      </c>
      <c r="R170" s="393">
        <f>SUM(R166:R169)</f>
        <v>76.87</v>
      </c>
      <c r="S170" s="393">
        <f>SUM(S166:S169)</f>
        <v>89.6</v>
      </c>
      <c r="T170" s="393">
        <f>SUM(T166:T169)</f>
        <v>0.7000000000000001</v>
      </c>
      <c r="U170" s="363"/>
      <c r="W170" s="6"/>
    </row>
    <row r="171" spans="1:23" ht="15" customHeight="1">
      <c r="A171" s="295"/>
      <c r="B171" s="309"/>
      <c r="C171" s="41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W171" s="6"/>
    </row>
    <row r="172" spans="1:23" ht="18" customHeight="1">
      <c r="A172" s="295"/>
      <c r="B172" s="309"/>
      <c r="C172" s="41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W172" s="6"/>
    </row>
    <row r="173" spans="1:23" ht="18" customHeight="1">
      <c r="A173" s="295"/>
      <c r="B173" s="309"/>
      <c r="C173" s="41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W173" s="6"/>
    </row>
    <row r="174" spans="1:23" ht="18" customHeight="1">
      <c r="A174" s="295"/>
      <c r="B174" s="309"/>
      <c r="C174" s="41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W174" s="6"/>
    </row>
    <row r="175" spans="1:23" ht="18" customHeight="1">
      <c r="A175" s="295"/>
      <c r="B175" s="309"/>
      <c r="C175" s="41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W175" s="6"/>
    </row>
    <row r="176" spans="1:23" ht="18" customHeight="1">
      <c r="A176" s="295"/>
      <c r="B176" s="309"/>
      <c r="C176" s="41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W176" s="6"/>
    </row>
    <row r="177" spans="1:23" ht="16.5" customHeight="1">
      <c r="A177" s="295"/>
      <c r="B177" s="325" t="s">
        <v>123</v>
      </c>
      <c r="C177" s="41"/>
      <c r="D177" s="40"/>
      <c r="E177" s="298" t="s">
        <v>422</v>
      </c>
      <c r="F177" s="298"/>
      <c r="G177" s="40"/>
      <c r="H177" s="298" t="s">
        <v>436</v>
      </c>
      <c r="I177" s="298"/>
      <c r="J177" s="298"/>
      <c r="K177" s="298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W177" s="6"/>
    </row>
    <row r="178" spans="1:23" ht="16.5" customHeight="1">
      <c r="A178" s="295"/>
      <c r="B178" s="325" t="s">
        <v>135</v>
      </c>
      <c r="C178" s="41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W178" s="6"/>
    </row>
    <row r="179" spans="1:23" ht="16.5" customHeight="1">
      <c r="A179" s="295"/>
      <c r="B179" s="325" t="s">
        <v>473</v>
      </c>
      <c r="C179" s="41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W179" s="6"/>
    </row>
    <row r="180" spans="1:23" ht="16.5" customHeight="1">
      <c r="A180" s="295"/>
      <c r="B180" s="20" t="s">
        <v>433</v>
      </c>
      <c r="C180" s="316"/>
      <c r="D180" s="40"/>
      <c r="E180" s="298"/>
      <c r="F180" s="298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W180" s="6"/>
    </row>
    <row r="181" spans="1:23" ht="16.5" customHeight="1" thickBot="1">
      <c r="A181" s="295"/>
      <c r="B181" s="20"/>
      <c r="C181" s="41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W181" s="6"/>
    </row>
    <row r="182" spans="1:23" ht="19.5" customHeight="1" thickBot="1">
      <c r="A182" s="465" t="s">
        <v>411</v>
      </c>
      <c r="B182" s="467" t="s">
        <v>11</v>
      </c>
      <c r="C182" s="100" t="s">
        <v>12</v>
      </c>
      <c r="D182" s="469" t="s">
        <v>15</v>
      </c>
      <c r="E182" s="470"/>
      <c r="F182" s="471"/>
      <c r="G182" s="101" t="s">
        <v>16</v>
      </c>
      <c r="H182" s="475" t="s">
        <v>389</v>
      </c>
      <c r="I182" s="476"/>
      <c r="J182" s="476"/>
      <c r="K182" s="476"/>
      <c r="L182" s="476"/>
      <c r="M182" s="476"/>
      <c r="N182" s="476"/>
      <c r="O182" s="477"/>
      <c r="P182" s="475" t="s">
        <v>382</v>
      </c>
      <c r="Q182" s="478"/>
      <c r="R182" s="476"/>
      <c r="S182" s="476"/>
      <c r="T182" s="477"/>
      <c r="U182" s="360"/>
      <c r="W182" s="6"/>
    </row>
    <row r="183" spans="1:23" ht="35.25" customHeight="1" thickBot="1">
      <c r="A183" s="466"/>
      <c r="B183" s="468"/>
      <c r="C183" s="350" t="s">
        <v>17</v>
      </c>
      <c r="D183" s="103" t="s">
        <v>18</v>
      </c>
      <c r="E183" s="103" t="s">
        <v>19</v>
      </c>
      <c r="F183" s="103" t="s">
        <v>20</v>
      </c>
      <c r="G183" s="369" t="s">
        <v>21</v>
      </c>
      <c r="H183" s="98" t="s">
        <v>416</v>
      </c>
      <c r="I183" s="98" t="s">
        <v>383</v>
      </c>
      <c r="J183" s="98" t="s">
        <v>384</v>
      </c>
      <c r="K183" s="98" t="s">
        <v>385</v>
      </c>
      <c r="L183" s="98" t="s">
        <v>386</v>
      </c>
      <c r="M183" s="98" t="s">
        <v>418</v>
      </c>
      <c r="N183" s="98" t="s">
        <v>419</v>
      </c>
      <c r="O183" s="98" t="s">
        <v>420</v>
      </c>
      <c r="P183" s="98" t="s">
        <v>387</v>
      </c>
      <c r="Q183" s="98" t="s">
        <v>414</v>
      </c>
      <c r="R183" s="98" t="s">
        <v>388</v>
      </c>
      <c r="S183" s="98" t="s">
        <v>417</v>
      </c>
      <c r="T183" s="98" t="s">
        <v>415</v>
      </c>
      <c r="U183" s="57"/>
      <c r="W183" s="6"/>
    </row>
    <row r="184" spans="1:23" ht="16.5" customHeight="1" thickBot="1">
      <c r="A184" s="299"/>
      <c r="B184" s="300" t="s">
        <v>22</v>
      </c>
      <c r="C184" s="301"/>
      <c r="D184" s="302"/>
      <c r="E184" s="302"/>
      <c r="F184" s="302"/>
      <c r="G184" s="302"/>
      <c r="H184" s="302"/>
      <c r="I184" s="302"/>
      <c r="J184" s="302"/>
      <c r="K184" s="302"/>
      <c r="L184" s="302"/>
      <c r="M184" s="302"/>
      <c r="N184" s="302"/>
      <c r="O184" s="302"/>
      <c r="P184" s="302"/>
      <c r="Q184" s="302"/>
      <c r="R184" s="302"/>
      <c r="S184" s="302"/>
      <c r="T184" s="303"/>
      <c r="U184" s="323"/>
      <c r="W184" s="6"/>
    </row>
    <row r="185" spans="1:22" ht="39" customHeight="1">
      <c r="A185" s="214" t="s">
        <v>379</v>
      </c>
      <c r="B185" s="292" t="s">
        <v>434</v>
      </c>
      <c r="C185" s="105">
        <v>100</v>
      </c>
      <c r="D185" s="118">
        <v>2.06</v>
      </c>
      <c r="E185" s="106">
        <v>0.1</v>
      </c>
      <c r="F185" s="106">
        <v>6.3</v>
      </c>
      <c r="G185" s="118">
        <v>12</v>
      </c>
      <c r="H185" s="118">
        <v>141</v>
      </c>
      <c r="I185" s="118">
        <v>21.9</v>
      </c>
      <c r="J185" s="118">
        <v>10.5</v>
      </c>
      <c r="K185" s="118">
        <v>21</v>
      </c>
      <c r="L185" s="118">
        <v>0.54</v>
      </c>
      <c r="M185" s="118">
        <v>3</v>
      </c>
      <c r="N185" s="118">
        <v>0.3</v>
      </c>
      <c r="O185" s="118">
        <v>17</v>
      </c>
      <c r="P185" s="118">
        <v>0.03</v>
      </c>
      <c r="Q185" s="118">
        <v>0.04</v>
      </c>
      <c r="R185" s="118">
        <v>10</v>
      </c>
      <c r="S185" s="118">
        <v>10</v>
      </c>
      <c r="T185" s="118">
        <v>0</v>
      </c>
      <c r="U185" s="314"/>
      <c r="V185" s="219"/>
    </row>
    <row r="186" spans="1:22" ht="21.75" customHeight="1">
      <c r="A186" s="291" t="s">
        <v>439</v>
      </c>
      <c r="B186" s="292" t="s">
        <v>440</v>
      </c>
      <c r="C186" s="388">
        <v>130</v>
      </c>
      <c r="D186" s="355">
        <v>13</v>
      </c>
      <c r="E186" s="355">
        <v>15.1</v>
      </c>
      <c r="F186" s="355">
        <v>18.2</v>
      </c>
      <c r="G186" s="118">
        <v>259</v>
      </c>
      <c r="H186" s="118">
        <v>182</v>
      </c>
      <c r="I186" s="118">
        <v>38</v>
      </c>
      <c r="J186" s="118">
        <v>22</v>
      </c>
      <c r="K186" s="118">
        <v>95</v>
      </c>
      <c r="L186" s="118">
        <v>2</v>
      </c>
      <c r="M186" s="118">
        <v>10.8</v>
      </c>
      <c r="N186" s="118">
        <v>1.54</v>
      </c>
      <c r="O186" s="118">
        <v>27.6</v>
      </c>
      <c r="P186" s="118">
        <v>0.04</v>
      </c>
      <c r="Q186" s="118">
        <v>0.1</v>
      </c>
      <c r="R186" s="118">
        <v>15</v>
      </c>
      <c r="S186" s="118">
        <v>0</v>
      </c>
      <c r="T186" s="118">
        <v>0</v>
      </c>
      <c r="U186" s="306"/>
      <c r="V186" s="219"/>
    </row>
    <row r="187" spans="1:22" ht="25.5" customHeight="1">
      <c r="A187" s="273" t="s">
        <v>471</v>
      </c>
      <c r="B187" s="291" t="s">
        <v>472</v>
      </c>
      <c r="C187" s="169">
        <v>180</v>
      </c>
      <c r="D187" s="106">
        <v>3.6</v>
      </c>
      <c r="E187" s="106">
        <v>5.76</v>
      </c>
      <c r="F187" s="106">
        <v>37.56</v>
      </c>
      <c r="G187" s="106">
        <v>229.2</v>
      </c>
      <c r="H187" s="106">
        <v>61.2</v>
      </c>
      <c r="I187" s="106">
        <v>13.2</v>
      </c>
      <c r="J187" s="106">
        <v>8.4</v>
      </c>
      <c r="K187" s="106">
        <v>43.2</v>
      </c>
      <c r="L187" s="106">
        <v>0.96</v>
      </c>
      <c r="M187" s="106">
        <v>0.73</v>
      </c>
      <c r="N187" s="106">
        <v>0</v>
      </c>
      <c r="O187" s="106">
        <v>12.1</v>
      </c>
      <c r="P187" s="106">
        <v>0.07</v>
      </c>
      <c r="Q187" s="106">
        <v>0.1</v>
      </c>
      <c r="R187" s="106">
        <v>0.02</v>
      </c>
      <c r="S187" s="429">
        <v>0</v>
      </c>
      <c r="T187" s="106">
        <v>0.03</v>
      </c>
      <c r="U187" s="306"/>
      <c r="V187" s="219"/>
    </row>
    <row r="188" spans="1:22" ht="22.5" customHeight="1">
      <c r="A188" s="291" t="s">
        <v>406</v>
      </c>
      <c r="B188" s="308" t="s">
        <v>373</v>
      </c>
      <c r="C188" s="159">
        <v>25</v>
      </c>
      <c r="D188" s="106">
        <v>1.4</v>
      </c>
      <c r="E188" s="106">
        <v>0.28</v>
      </c>
      <c r="F188" s="106">
        <v>10.25</v>
      </c>
      <c r="G188" s="106">
        <v>51.5</v>
      </c>
      <c r="H188" s="106">
        <v>78</v>
      </c>
      <c r="I188" s="106">
        <v>7.25</v>
      </c>
      <c r="J188" s="106">
        <v>37.5</v>
      </c>
      <c r="K188" s="106">
        <v>11.75</v>
      </c>
      <c r="L188" s="106">
        <v>0.95</v>
      </c>
      <c r="M188" s="106">
        <v>1.4</v>
      </c>
      <c r="N188" s="106">
        <v>1.8</v>
      </c>
      <c r="O188" s="106">
        <v>8</v>
      </c>
      <c r="P188" s="106">
        <v>0.04</v>
      </c>
      <c r="Q188" s="106">
        <v>0.08</v>
      </c>
      <c r="R188" s="106">
        <v>0</v>
      </c>
      <c r="S188" s="106">
        <v>0</v>
      </c>
      <c r="T188" s="106">
        <v>0</v>
      </c>
      <c r="U188" s="314"/>
      <c r="V188" s="219"/>
    </row>
    <row r="189" spans="1:22" ht="25.5" customHeight="1" thickBot="1">
      <c r="A189" s="304" t="s">
        <v>377</v>
      </c>
      <c r="B189" s="304" t="s">
        <v>376</v>
      </c>
      <c r="C189" s="112">
        <v>200</v>
      </c>
      <c r="D189" s="106">
        <v>0.3</v>
      </c>
      <c r="E189" s="106">
        <v>0</v>
      </c>
      <c r="F189" s="106">
        <v>15</v>
      </c>
      <c r="G189" s="111">
        <v>40</v>
      </c>
      <c r="H189" s="111">
        <v>10.8</v>
      </c>
      <c r="I189" s="106">
        <v>8</v>
      </c>
      <c r="J189" s="106">
        <v>5</v>
      </c>
      <c r="K189" s="106">
        <v>10</v>
      </c>
      <c r="L189" s="106">
        <v>1</v>
      </c>
      <c r="M189" s="106">
        <v>0</v>
      </c>
      <c r="N189" s="106">
        <v>0.02</v>
      </c>
      <c r="O189" s="106">
        <v>0.7</v>
      </c>
      <c r="P189" s="106">
        <v>0</v>
      </c>
      <c r="Q189" s="106">
        <v>0</v>
      </c>
      <c r="R189" s="106">
        <v>3</v>
      </c>
      <c r="S189" s="106">
        <v>0</v>
      </c>
      <c r="T189" s="106">
        <v>0</v>
      </c>
      <c r="U189" s="310"/>
      <c r="V189" s="219"/>
    </row>
    <row r="190" spans="1:22" ht="22.5" customHeight="1" thickBot="1">
      <c r="A190" s="390"/>
      <c r="B190" s="293" t="s">
        <v>226</v>
      </c>
      <c r="C190" s="366">
        <f>SUM(C185:C189)</f>
        <v>635</v>
      </c>
      <c r="D190" s="331">
        <f aca="true" t="shared" si="8" ref="D190:T190">SUM(D185:D189)</f>
        <v>20.36</v>
      </c>
      <c r="E190" s="331">
        <f t="shared" si="8"/>
        <v>21.240000000000002</v>
      </c>
      <c r="F190" s="331">
        <f t="shared" si="8"/>
        <v>87.31</v>
      </c>
      <c r="G190" s="335">
        <f t="shared" si="8"/>
        <v>591.7</v>
      </c>
      <c r="H190" s="335">
        <f t="shared" si="8"/>
        <v>473</v>
      </c>
      <c r="I190" s="335">
        <f t="shared" si="8"/>
        <v>88.35</v>
      </c>
      <c r="J190" s="335">
        <f t="shared" si="8"/>
        <v>83.4</v>
      </c>
      <c r="K190" s="335">
        <f t="shared" si="8"/>
        <v>180.95</v>
      </c>
      <c r="L190" s="335">
        <f t="shared" si="8"/>
        <v>5.45</v>
      </c>
      <c r="M190" s="335">
        <f t="shared" si="8"/>
        <v>15.930000000000001</v>
      </c>
      <c r="N190" s="335">
        <f t="shared" si="8"/>
        <v>3.66</v>
      </c>
      <c r="O190" s="335">
        <f t="shared" si="8"/>
        <v>65.4</v>
      </c>
      <c r="P190" s="335">
        <f t="shared" si="8"/>
        <v>0.18000000000000002</v>
      </c>
      <c r="Q190" s="335">
        <f t="shared" si="8"/>
        <v>0.32</v>
      </c>
      <c r="R190" s="335">
        <f t="shared" si="8"/>
        <v>28.02</v>
      </c>
      <c r="S190" s="335">
        <f t="shared" si="8"/>
        <v>10</v>
      </c>
      <c r="T190" s="335">
        <f t="shared" si="8"/>
        <v>0.03</v>
      </c>
      <c r="U190" s="363"/>
      <c r="V190" s="76"/>
    </row>
    <row r="191" spans="1:22" ht="22.5" customHeight="1" thickBot="1">
      <c r="A191" s="417"/>
      <c r="B191" s="316"/>
      <c r="C191" s="405"/>
      <c r="D191" s="38"/>
      <c r="E191" s="298" t="s">
        <v>423</v>
      </c>
      <c r="F191" s="298"/>
      <c r="G191" s="362"/>
      <c r="H191" s="362"/>
      <c r="I191" s="362"/>
      <c r="J191" s="362"/>
      <c r="K191" s="362"/>
      <c r="L191" s="362"/>
      <c r="M191" s="362"/>
      <c r="N191" s="362"/>
      <c r="O191" s="362"/>
      <c r="P191" s="362"/>
      <c r="Q191" s="362"/>
      <c r="R191" s="362"/>
      <c r="S191" s="362"/>
      <c r="T191" s="362"/>
      <c r="U191" s="363"/>
      <c r="V191" s="76"/>
    </row>
    <row r="192" spans="1:22" ht="22.5" customHeight="1" thickBot="1">
      <c r="A192" s="465" t="s">
        <v>411</v>
      </c>
      <c r="B192" s="467" t="s">
        <v>11</v>
      </c>
      <c r="C192" s="100" t="s">
        <v>12</v>
      </c>
      <c r="D192" s="469" t="s">
        <v>15</v>
      </c>
      <c r="E192" s="470"/>
      <c r="F192" s="471"/>
      <c r="G192" s="101" t="s">
        <v>16</v>
      </c>
      <c r="H192" s="469" t="s">
        <v>389</v>
      </c>
      <c r="I192" s="472"/>
      <c r="J192" s="472"/>
      <c r="K192" s="472"/>
      <c r="L192" s="472"/>
      <c r="M192" s="472"/>
      <c r="N192" s="472"/>
      <c r="O192" s="473"/>
      <c r="P192" s="469" t="s">
        <v>382</v>
      </c>
      <c r="Q192" s="470"/>
      <c r="R192" s="472"/>
      <c r="S192" s="472"/>
      <c r="T192" s="473"/>
      <c r="U192" s="363"/>
      <c r="V192" s="76"/>
    </row>
    <row r="193" spans="1:22" ht="37.5" customHeight="1" thickBot="1">
      <c r="A193" s="466"/>
      <c r="B193" s="468"/>
      <c r="C193" s="350" t="s">
        <v>17</v>
      </c>
      <c r="D193" s="103" t="s">
        <v>18</v>
      </c>
      <c r="E193" s="103" t="s">
        <v>19</v>
      </c>
      <c r="F193" s="103" t="s">
        <v>20</v>
      </c>
      <c r="G193" s="369" t="s">
        <v>21</v>
      </c>
      <c r="H193" s="367" t="s">
        <v>416</v>
      </c>
      <c r="I193" s="367" t="s">
        <v>383</v>
      </c>
      <c r="J193" s="367" t="s">
        <v>384</v>
      </c>
      <c r="K193" s="367" t="s">
        <v>385</v>
      </c>
      <c r="L193" s="367" t="s">
        <v>386</v>
      </c>
      <c r="M193" s="367" t="s">
        <v>418</v>
      </c>
      <c r="N193" s="368" t="s">
        <v>419</v>
      </c>
      <c r="O193" s="368" t="s">
        <v>420</v>
      </c>
      <c r="P193" s="125" t="s">
        <v>387</v>
      </c>
      <c r="Q193" s="125" t="s">
        <v>414</v>
      </c>
      <c r="R193" s="125" t="s">
        <v>388</v>
      </c>
      <c r="S193" s="125" t="s">
        <v>417</v>
      </c>
      <c r="T193" s="98" t="s">
        <v>415</v>
      </c>
      <c r="U193" s="363"/>
      <c r="V193" s="76"/>
    </row>
    <row r="194" spans="1:22" ht="22.5" customHeight="1" thickBot="1">
      <c r="A194" s="299"/>
      <c r="B194" s="300" t="s">
        <v>22</v>
      </c>
      <c r="C194" s="301"/>
      <c r="D194" s="302"/>
      <c r="E194" s="302"/>
      <c r="F194" s="302"/>
      <c r="G194" s="302"/>
      <c r="H194" s="302"/>
      <c r="I194" s="302"/>
      <c r="J194" s="302"/>
      <c r="K194" s="302"/>
      <c r="L194" s="302"/>
      <c r="M194" s="302"/>
      <c r="N194" s="302"/>
      <c r="O194" s="302"/>
      <c r="P194" s="302"/>
      <c r="Q194" s="302"/>
      <c r="R194" s="302"/>
      <c r="S194" s="302"/>
      <c r="T194" s="303"/>
      <c r="U194" s="363"/>
      <c r="V194" s="76"/>
    </row>
    <row r="195" spans="1:22" ht="29.25" customHeight="1">
      <c r="A195" s="109" t="s">
        <v>467</v>
      </c>
      <c r="B195" s="292" t="s">
        <v>468</v>
      </c>
      <c r="C195" s="105">
        <v>60</v>
      </c>
      <c r="D195" s="130">
        <v>1.2</v>
      </c>
      <c r="E195" s="130">
        <v>3.1</v>
      </c>
      <c r="F195" s="130">
        <v>7.8</v>
      </c>
      <c r="G195" s="130">
        <v>38</v>
      </c>
      <c r="H195" s="130">
        <v>180</v>
      </c>
      <c r="I195" s="130">
        <v>31.2</v>
      </c>
      <c r="J195" s="130">
        <v>9.36</v>
      </c>
      <c r="K195" s="130">
        <v>32.94</v>
      </c>
      <c r="L195" s="130">
        <v>0.47</v>
      </c>
      <c r="M195" s="130">
        <v>1.8</v>
      </c>
      <c r="N195" s="130">
        <v>0.2</v>
      </c>
      <c r="O195" s="130">
        <v>6</v>
      </c>
      <c r="P195" s="130">
        <v>0.04</v>
      </c>
      <c r="Q195" s="130">
        <v>0.03</v>
      </c>
      <c r="R195" s="130">
        <v>14.7</v>
      </c>
      <c r="S195" s="130">
        <v>15</v>
      </c>
      <c r="T195" s="130">
        <v>0.1</v>
      </c>
      <c r="U195" s="363"/>
      <c r="V195" s="76"/>
    </row>
    <row r="196" spans="1:22" ht="22.5" customHeight="1">
      <c r="A196" s="336" t="s">
        <v>380</v>
      </c>
      <c r="B196" s="312" t="s">
        <v>391</v>
      </c>
      <c r="C196" s="388">
        <v>100</v>
      </c>
      <c r="D196" s="355">
        <v>15.5</v>
      </c>
      <c r="E196" s="355">
        <v>13.9</v>
      </c>
      <c r="F196" s="355">
        <v>13.1</v>
      </c>
      <c r="G196" s="118">
        <v>205</v>
      </c>
      <c r="H196" s="166">
        <v>270</v>
      </c>
      <c r="I196" s="355">
        <v>14</v>
      </c>
      <c r="J196" s="355">
        <v>20</v>
      </c>
      <c r="K196" s="389">
        <v>150</v>
      </c>
      <c r="L196" s="355">
        <v>2</v>
      </c>
      <c r="M196" s="355">
        <v>6.34</v>
      </c>
      <c r="N196" s="355">
        <v>0</v>
      </c>
      <c r="O196" s="355">
        <v>55.44</v>
      </c>
      <c r="P196" s="355">
        <v>0.04</v>
      </c>
      <c r="Q196" s="355">
        <v>0.12</v>
      </c>
      <c r="R196" s="355">
        <v>1</v>
      </c>
      <c r="S196" s="355">
        <v>0.01</v>
      </c>
      <c r="T196" s="355">
        <v>0</v>
      </c>
      <c r="U196" s="363"/>
      <c r="V196" s="76"/>
    </row>
    <row r="197" spans="1:22" ht="22.5" customHeight="1">
      <c r="A197" s="116" t="s">
        <v>369</v>
      </c>
      <c r="B197" s="446" t="s">
        <v>445</v>
      </c>
      <c r="C197" s="159">
        <v>150</v>
      </c>
      <c r="D197" s="106">
        <v>4.59</v>
      </c>
      <c r="E197" s="106">
        <v>5.92</v>
      </c>
      <c r="F197" s="106">
        <v>25.88</v>
      </c>
      <c r="G197" s="118">
        <v>234.52</v>
      </c>
      <c r="H197" s="118">
        <v>165</v>
      </c>
      <c r="I197" s="106">
        <v>23</v>
      </c>
      <c r="J197" s="373">
        <v>126</v>
      </c>
      <c r="K197" s="373">
        <v>211</v>
      </c>
      <c r="L197" s="106">
        <v>3.4</v>
      </c>
      <c r="M197" s="106">
        <v>1.45</v>
      </c>
      <c r="N197" s="106">
        <v>2.5</v>
      </c>
      <c r="O197" s="106">
        <v>10.12</v>
      </c>
      <c r="P197" s="106">
        <v>0.2</v>
      </c>
      <c r="Q197" s="106">
        <v>0.08</v>
      </c>
      <c r="R197" s="106">
        <v>1</v>
      </c>
      <c r="S197" s="106">
        <v>0.6</v>
      </c>
      <c r="T197" s="106">
        <v>0</v>
      </c>
      <c r="U197" s="363"/>
      <c r="V197" s="76"/>
    </row>
    <row r="198" spans="1:22" ht="22.5" customHeight="1">
      <c r="A198" s="116" t="s">
        <v>406</v>
      </c>
      <c r="B198" s="308" t="s">
        <v>373</v>
      </c>
      <c r="C198" s="159">
        <v>25</v>
      </c>
      <c r="D198" s="106">
        <v>1.4</v>
      </c>
      <c r="E198" s="106">
        <v>0.28</v>
      </c>
      <c r="F198" s="106">
        <v>10.25</v>
      </c>
      <c r="G198" s="106">
        <v>51.5</v>
      </c>
      <c r="H198" s="106">
        <v>78</v>
      </c>
      <c r="I198" s="106">
        <v>7.25</v>
      </c>
      <c r="J198" s="106">
        <v>37.5</v>
      </c>
      <c r="K198" s="106">
        <v>11.75</v>
      </c>
      <c r="L198" s="106">
        <v>0.95</v>
      </c>
      <c r="M198" s="106">
        <v>1.4</v>
      </c>
      <c r="N198" s="106">
        <v>1.8</v>
      </c>
      <c r="O198" s="106">
        <v>8</v>
      </c>
      <c r="P198" s="106">
        <v>0.04</v>
      </c>
      <c r="Q198" s="106">
        <v>0.08</v>
      </c>
      <c r="R198" s="106">
        <v>0</v>
      </c>
      <c r="S198" s="106">
        <v>0</v>
      </c>
      <c r="T198" s="106">
        <v>0</v>
      </c>
      <c r="U198" s="363"/>
      <c r="V198" s="76"/>
    </row>
    <row r="199" spans="1:22" ht="22.5" customHeight="1" thickBot="1">
      <c r="A199" s="109" t="s">
        <v>446</v>
      </c>
      <c r="B199" s="292" t="s">
        <v>447</v>
      </c>
      <c r="C199" s="439">
        <v>200</v>
      </c>
      <c r="D199" s="106">
        <v>0.2</v>
      </c>
      <c r="E199" s="106">
        <v>0</v>
      </c>
      <c r="F199" s="106">
        <v>24.23</v>
      </c>
      <c r="G199" s="118">
        <v>95</v>
      </c>
      <c r="H199" s="118">
        <v>15.2</v>
      </c>
      <c r="I199" s="118">
        <v>60</v>
      </c>
      <c r="J199" s="118">
        <v>20</v>
      </c>
      <c r="K199" s="118">
        <v>3</v>
      </c>
      <c r="L199" s="118">
        <v>2.3</v>
      </c>
      <c r="M199" s="118">
        <v>0</v>
      </c>
      <c r="N199" s="118">
        <v>0</v>
      </c>
      <c r="O199" s="118">
        <v>0</v>
      </c>
      <c r="P199" s="118">
        <v>0.3</v>
      </c>
      <c r="Q199" s="118">
        <v>0.34</v>
      </c>
      <c r="R199" s="118">
        <v>20</v>
      </c>
      <c r="S199" s="365">
        <v>130</v>
      </c>
      <c r="T199" s="118">
        <v>1.68</v>
      </c>
      <c r="U199" s="363"/>
      <c r="V199" s="76"/>
    </row>
    <row r="200" spans="1:22" ht="22.5" customHeight="1" thickBot="1">
      <c r="A200" s="390"/>
      <c r="B200" s="293" t="s">
        <v>226</v>
      </c>
      <c r="C200" s="366">
        <f>SUM(C195:C199)</f>
        <v>535</v>
      </c>
      <c r="D200" s="331">
        <f aca="true" t="shared" si="9" ref="D200:T200">SUM(D195:D199)</f>
        <v>22.889999999999997</v>
      </c>
      <c r="E200" s="331">
        <f t="shared" si="9"/>
        <v>23.200000000000003</v>
      </c>
      <c r="F200" s="331">
        <f t="shared" si="9"/>
        <v>81.26</v>
      </c>
      <c r="G200" s="335">
        <f t="shared" si="9"/>
        <v>624.02</v>
      </c>
      <c r="H200" s="335">
        <f t="shared" si="9"/>
        <v>708.2</v>
      </c>
      <c r="I200" s="335">
        <f t="shared" si="9"/>
        <v>135.45</v>
      </c>
      <c r="J200" s="335">
        <f t="shared" si="9"/>
        <v>212.86</v>
      </c>
      <c r="K200" s="335">
        <f t="shared" si="9"/>
        <v>408.69</v>
      </c>
      <c r="L200" s="335">
        <f t="shared" si="9"/>
        <v>9.12</v>
      </c>
      <c r="M200" s="335">
        <f t="shared" si="9"/>
        <v>10.99</v>
      </c>
      <c r="N200" s="335">
        <f t="shared" si="9"/>
        <v>4.5</v>
      </c>
      <c r="O200" s="370">
        <f t="shared" si="9"/>
        <v>79.56</v>
      </c>
      <c r="P200" s="335">
        <f t="shared" si="9"/>
        <v>0.62</v>
      </c>
      <c r="Q200" s="335">
        <f t="shared" si="9"/>
        <v>0.65</v>
      </c>
      <c r="R200" s="335">
        <f t="shared" si="9"/>
        <v>36.7</v>
      </c>
      <c r="S200" s="335">
        <f t="shared" si="9"/>
        <v>145.61</v>
      </c>
      <c r="T200" s="335">
        <f t="shared" si="9"/>
        <v>1.78</v>
      </c>
      <c r="U200" s="363"/>
      <c r="V200" s="76"/>
    </row>
    <row r="201" spans="1:22" ht="22.5" customHeight="1">
      <c r="A201" s="417"/>
      <c r="B201" s="316"/>
      <c r="C201" s="405"/>
      <c r="D201" s="38"/>
      <c r="E201" s="38"/>
      <c r="F201" s="38"/>
      <c r="G201" s="362"/>
      <c r="H201" s="362"/>
      <c r="I201" s="362"/>
      <c r="J201" s="362"/>
      <c r="K201" s="362"/>
      <c r="L201" s="362"/>
      <c r="M201" s="362"/>
      <c r="N201" s="362"/>
      <c r="O201" s="37"/>
      <c r="P201" s="362"/>
      <c r="Q201" s="362"/>
      <c r="R201" s="362"/>
      <c r="S201" s="362"/>
      <c r="T201" s="362"/>
      <c r="U201" s="363"/>
      <c r="V201" s="76"/>
    </row>
    <row r="202" spans="1:35" s="25" customFormat="1" ht="16.5" customHeight="1">
      <c r="A202" s="307"/>
      <c r="B202" s="325"/>
      <c r="C202" s="41"/>
      <c r="D202" s="40"/>
      <c r="E202" s="298"/>
      <c r="F202" s="298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1:35" s="25" customFormat="1" ht="16.5" customHeight="1">
      <c r="A203" s="307"/>
      <c r="B203" s="325"/>
      <c r="C203" s="41"/>
      <c r="D203" s="40"/>
      <c r="E203" s="298"/>
      <c r="F203" s="298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1:35" s="25" customFormat="1" ht="16.5" customHeight="1">
      <c r="A204" s="307"/>
      <c r="B204" s="325"/>
      <c r="C204" s="41"/>
      <c r="D204" s="40"/>
      <c r="E204" s="298"/>
      <c r="F204" s="298"/>
      <c r="G204" s="40"/>
      <c r="H204" s="298"/>
      <c r="I204" s="298"/>
      <c r="J204" s="298"/>
      <c r="K204" s="298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1:35" s="25" customFormat="1" ht="16.5" customHeight="1">
      <c r="A205" s="307"/>
      <c r="B205" s="325" t="s">
        <v>63</v>
      </c>
      <c r="C205" s="41"/>
      <c r="D205" s="40"/>
      <c r="E205" s="298" t="s">
        <v>422</v>
      </c>
      <c r="F205" s="298"/>
      <c r="G205" s="40"/>
      <c r="H205" s="298" t="s">
        <v>436</v>
      </c>
      <c r="I205" s="298"/>
      <c r="J205" s="298"/>
      <c r="K205" s="298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1:35" s="25" customFormat="1" ht="16.5" customHeight="1">
      <c r="A206" s="307"/>
      <c r="B206" s="325" t="s">
        <v>135</v>
      </c>
      <c r="C206" s="41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1:21" ht="16.5" customHeight="1">
      <c r="A207" s="295"/>
      <c r="B207" s="325" t="s">
        <v>473</v>
      </c>
      <c r="C207" s="41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</row>
    <row r="208" spans="1:21" ht="16.5" customHeight="1" thickBot="1">
      <c r="A208" s="295"/>
      <c r="B208" s="20" t="s">
        <v>433</v>
      </c>
      <c r="C208" s="316"/>
      <c r="D208" s="40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</row>
    <row r="209" spans="1:21" ht="16.5" customHeight="1" thickBot="1">
      <c r="A209" s="465" t="s">
        <v>411</v>
      </c>
      <c r="B209" s="467" t="s">
        <v>11</v>
      </c>
      <c r="C209" s="100" t="s">
        <v>12</v>
      </c>
      <c r="D209" s="469" t="s">
        <v>15</v>
      </c>
      <c r="E209" s="470"/>
      <c r="F209" s="471"/>
      <c r="G209" s="101" t="s">
        <v>16</v>
      </c>
      <c r="H209" s="469" t="s">
        <v>389</v>
      </c>
      <c r="I209" s="472"/>
      <c r="J209" s="472"/>
      <c r="K209" s="472"/>
      <c r="L209" s="472"/>
      <c r="M209" s="472"/>
      <c r="N209" s="472"/>
      <c r="O209" s="473"/>
      <c r="P209" s="469" t="s">
        <v>382</v>
      </c>
      <c r="Q209" s="470"/>
      <c r="R209" s="472"/>
      <c r="S209" s="472"/>
      <c r="T209" s="473"/>
      <c r="U209" s="360"/>
    </row>
    <row r="210" spans="1:21" ht="33.75" customHeight="1" thickBot="1">
      <c r="A210" s="466"/>
      <c r="B210" s="468"/>
      <c r="C210" s="350" t="s">
        <v>17</v>
      </c>
      <c r="D210" s="103" t="s">
        <v>18</v>
      </c>
      <c r="E210" s="103" t="s">
        <v>19</v>
      </c>
      <c r="F210" s="103" t="s">
        <v>20</v>
      </c>
      <c r="G210" s="369" t="s">
        <v>21</v>
      </c>
      <c r="H210" s="367" t="s">
        <v>416</v>
      </c>
      <c r="I210" s="367" t="s">
        <v>383</v>
      </c>
      <c r="J210" s="367" t="s">
        <v>384</v>
      </c>
      <c r="K210" s="367" t="s">
        <v>385</v>
      </c>
      <c r="L210" s="367" t="s">
        <v>386</v>
      </c>
      <c r="M210" s="367" t="s">
        <v>418</v>
      </c>
      <c r="N210" s="368" t="s">
        <v>419</v>
      </c>
      <c r="O210" s="368" t="s">
        <v>420</v>
      </c>
      <c r="P210" s="125" t="s">
        <v>387</v>
      </c>
      <c r="Q210" s="125" t="s">
        <v>414</v>
      </c>
      <c r="R210" s="125" t="s">
        <v>388</v>
      </c>
      <c r="S210" s="125" t="s">
        <v>417</v>
      </c>
      <c r="T210" s="98" t="s">
        <v>415</v>
      </c>
      <c r="U210" s="57"/>
    </row>
    <row r="211" spans="1:21" ht="16.5" customHeight="1" thickBot="1">
      <c r="A211" s="299"/>
      <c r="B211" s="300" t="s">
        <v>22</v>
      </c>
      <c r="C211" s="301"/>
      <c r="D211" s="302"/>
      <c r="E211" s="302"/>
      <c r="F211" s="302"/>
      <c r="G211" s="302"/>
      <c r="H211" s="302"/>
      <c r="I211" s="302"/>
      <c r="J211" s="302"/>
      <c r="K211" s="302"/>
      <c r="L211" s="302"/>
      <c r="M211" s="302"/>
      <c r="N211" s="302"/>
      <c r="O211" s="302"/>
      <c r="P211" s="302"/>
      <c r="Q211" s="302"/>
      <c r="R211" s="302"/>
      <c r="S211" s="302"/>
      <c r="T211" s="303"/>
      <c r="U211" s="323"/>
    </row>
    <row r="212" spans="1:21" ht="21" customHeight="1">
      <c r="A212" s="153" t="s">
        <v>136</v>
      </c>
      <c r="B212" s="346" t="s">
        <v>365</v>
      </c>
      <c r="C212" s="154">
        <v>200</v>
      </c>
      <c r="D212" s="168">
        <v>18.76</v>
      </c>
      <c r="E212" s="168">
        <v>21.73</v>
      </c>
      <c r="F212" s="168">
        <v>52.8</v>
      </c>
      <c r="G212" s="410">
        <v>484.24</v>
      </c>
      <c r="H212" s="410">
        <v>138.7</v>
      </c>
      <c r="I212" s="410">
        <v>195.7</v>
      </c>
      <c r="J212" s="430">
        <v>320.5</v>
      </c>
      <c r="K212" s="410">
        <v>29</v>
      </c>
      <c r="L212" s="410">
        <v>1.74</v>
      </c>
      <c r="M212" s="410">
        <v>15.7</v>
      </c>
      <c r="N212" s="410">
        <v>35.3</v>
      </c>
      <c r="O212" s="410">
        <v>50.7</v>
      </c>
      <c r="P212" s="410">
        <v>0.07650000000000001</v>
      </c>
      <c r="Q212" s="410">
        <v>0.36</v>
      </c>
      <c r="R212" s="410">
        <v>0.7</v>
      </c>
      <c r="S212" s="410">
        <v>124</v>
      </c>
      <c r="T212" s="410">
        <v>2</v>
      </c>
      <c r="U212" s="306"/>
    </row>
    <row r="213" spans="1:21" ht="17.25" customHeight="1">
      <c r="A213" s="351" t="s">
        <v>406</v>
      </c>
      <c r="B213" s="320" t="s">
        <v>394</v>
      </c>
      <c r="C213" s="341">
        <v>30</v>
      </c>
      <c r="D213" s="106">
        <v>1.88</v>
      </c>
      <c r="E213" s="106">
        <v>0.2</v>
      </c>
      <c r="F213" s="106">
        <v>12.85</v>
      </c>
      <c r="G213" s="118">
        <v>60.7</v>
      </c>
      <c r="H213" s="118">
        <v>166</v>
      </c>
      <c r="I213" s="106">
        <v>4.75</v>
      </c>
      <c r="J213" s="106">
        <v>16.25</v>
      </c>
      <c r="K213" s="106">
        <v>3.25</v>
      </c>
      <c r="L213" s="106">
        <v>0.3</v>
      </c>
      <c r="M213" s="106">
        <v>1.1</v>
      </c>
      <c r="N213" s="106">
        <v>2</v>
      </c>
      <c r="O213" s="106">
        <v>4.8</v>
      </c>
      <c r="P213" s="106">
        <v>0.03</v>
      </c>
      <c r="Q213" s="106">
        <v>0.01</v>
      </c>
      <c r="R213" s="106">
        <v>0</v>
      </c>
      <c r="S213" s="106">
        <v>0</v>
      </c>
      <c r="T213" s="106">
        <v>0</v>
      </c>
      <c r="U213" s="306"/>
    </row>
    <row r="214" spans="1:21" ht="22.5" customHeight="1">
      <c r="A214" s="352" t="s">
        <v>31</v>
      </c>
      <c r="B214" s="342" t="s">
        <v>381</v>
      </c>
      <c r="C214" s="119">
        <v>200</v>
      </c>
      <c r="D214" s="106">
        <v>3.77</v>
      </c>
      <c r="E214" s="106">
        <v>2.5</v>
      </c>
      <c r="F214" s="106">
        <v>26</v>
      </c>
      <c r="G214" s="118">
        <v>151.28</v>
      </c>
      <c r="H214" s="118">
        <v>146</v>
      </c>
      <c r="I214" s="118">
        <v>221</v>
      </c>
      <c r="J214" s="118">
        <v>14</v>
      </c>
      <c r="K214" s="118">
        <v>3.2</v>
      </c>
      <c r="L214" s="118">
        <v>1</v>
      </c>
      <c r="M214" s="118">
        <v>0.9</v>
      </c>
      <c r="N214" s="118">
        <v>2</v>
      </c>
      <c r="O214" s="118">
        <v>20</v>
      </c>
      <c r="P214" s="118">
        <v>0.3</v>
      </c>
      <c r="Q214" s="118">
        <v>0.15</v>
      </c>
      <c r="R214" s="118">
        <v>15</v>
      </c>
      <c r="S214" s="365">
        <v>130</v>
      </c>
      <c r="T214" s="118">
        <v>2.5</v>
      </c>
      <c r="U214" s="306"/>
    </row>
    <row r="215" spans="1:24" ht="30" customHeight="1" thickBot="1">
      <c r="A215" s="349" t="s">
        <v>408</v>
      </c>
      <c r="B215" s="444" t="s">
        <v>397</v>
      </c>
      <c r="C215" s="356">
        <v>100</v>
      </c>
      <c r="D215" s="358">
        <v>0.4</v>
      </c>
      <c r="E215" s="358">
        <v>0.4</v>
      </c>
      <c r="F215" s="358">
        <v>9.5</v>
      </c>
      <c r="G215" s="357">
        <v>43</v>
      </c>
      <c r="H215" s="357">
        <v>230</v>
      </c>
      <c r="I215" s="358">
        <v>30</v>
      </c>
      <c r="J215" s="358">
        <v>11</v>
      </c>
      <c r="K215" s="359">
        <v>17</v>
      </c>
      <c r="L215" s="358">
        <v>0.1</v>
      </c>
      <c r="M215" s="358">
        <v>1.76</v>
      </c>
      <c r="N215" s="358">
        <v>0.26</v>
      </c>
      <c r="O215" s="358">
        <v>7.04</v>
      </c>
      <c r="P215" s="358">
        <v>0.04</v>
      </c>
      <c r="Q215" s="358">
        <v>0.016</v>
      </c>
      <c r="R215" s="358">
        <v>35</v>
      </c>
      <c r="S215" s="358">
        <v>3</v>
      </c>
      <c r="T215" s="358">
        <v>0</v>
      </c>
      <c r="U215" s="314"/>
      <c r="V215" s="219"/>
      <c r="W215" s="220"/>
      <c r="X215" s="219"/>
    </row>
    <row r="216" spans="1:22" ht="19.5" customHeight="1" thickBot="1">
      <c r="A216" s="293"/>
      <c r="B216" s="433" t="s">
        <v>226</v>
      </c>
      <c r="C216" s="347">
        <f>SUM(C212:C215)</f>
        <v>530</v>
      </c>
      <c r="D216" s="395">
        <f aca="true" t="shared" si="10" ref="D216:S216">SUM(D212:D215)</f>
        <v>24.81</v>
      </c>
      <c r="E216" s="395">
        <f t="shared" si="10"/>
        <v>24.83</v>
      </c>
      <c r="F216" s="395">
        <f t="shared" si="10"/>
        <v>101.14999999999999</v>
      </c>
      <c r="G216" s="395">
        <f t="shared" si="10"/>
        <v>739.22</v>
      </c>
      <c r="H216" s="241">
        <f t="shared" si="10"/>
        <v>680.7</v>
      </c>
      <c r="I216" s="241">
        <f t="shared" si="10"/>
        <v>451.45</v>
      </c>
      <c r="J216" s="241">
        <f t="shared" si="10"/>
        <v>361.75</v>
      </c>
      <c r="K216" s="241">
        <f t="shared" si="10"/>
        <v>52.45</v>
      </c>
      <c r="L216" s="241">
        <f t="shared" si="10"/>
        <v>3.14</v>
      </c>
      <c r="M216" s="241">
        <f t="shared" si="10"/>
        <v>19.46</v>
      </c>
      <c r="N216" s="241">
        <f t="shared" si="10"/>
        <v>39.559999999999995</v>
      </c>
      <c r="O216" s="241">
        <f t="shared" si="10"/>
        <v>82.54</v>
      </c>
      <c r="P216" s="241">
        <f t="shared" si="10"/>
        <v>0.44649999999999995</v>
      </c>
      <c r="Q216" s="241">
        <f t="shared" si="10"/>
        <v>0.536</v>
      </c>
      <c r="R216" s="241">
        <f t="shared" si="10"/>
        <v>50.7</v>
      </c>
      <c r="S216" s="241">
        <f t="shared" si="10"/>
        <v>257</v>
      </c>
      <c r="T216" s="335">
        <f>SUM(T212:T215)</f>
        <v>4.5</v>
      </c>
      <c r="U216" s="363"/>
      <c r="V216" s="78"/>
    </row>
    <row r="217" spans="1:22" ht="19.5" customHeight="1">
      <c r="A217" s="316"/>
      <c r="B217" s="316"/>
      <c r="C217" s="415"/>
      <c r="D217" s="419"/>
      <c r="E217" s="419"/>
      <c r="F217" s="419"/>
      <c r="G217" s="419"/>
      <c r="H217" s="420"/>
      <c r="I217" s="420"/>
      <c r="J217" s="420"/>
      <c r="K217" s="420"/>
      <c r="L217" s="420"/>
      <c r="M217" s="420"/>
      <c r="N217" s="420"/>
      <c r="O217" s="420"/>
      <c r="P217" s="420"/>
      <c r="Q217" s="420"/>
      <c r="R217" s="420"/>
      <c r="S217" s="420"/>
      <c r="T217" s="362"/>
      <c r="U217" s="363"/>
      <c r="V217" s="78"/>
    </row>
    <row r="218" spans="1:22" ht="19.5" customHeight="1" thickBot="1">
      <c r="A218" s="316"/>
      <c r="B218" s="316"/>
      <c r="C218" s="415"/>
      <c r="D218" s="419"/>
      <c r="E218" s="298" t="s">
        <v>423</v>
      </c>
      <c r="F218" s="298"/>
      <c r="G218" s="419"/>
      <c r="H218" s="420"/>
      <c r="I218" s="420"/>
      <c r="J218" s="420"/>
      <c r="K218" s="420"/>
      <c r="L218" s="420"/>
      <c r="M218" s="420"/>
      <c r="N218" s="420"/>
      <c r="O218" s="420"/>
      <c r="P218" s="420"/>
      <c r="Q218" s="420"/>
      <c r="R218" s="420"/>
      <c r="S218" s="420"/>
      <c r="T218" s="362"/>
      <c r="U218" s="363"/>
      <c r="V218" s="78"/>
    </row>
    <row r="219" spans="1:22" ht="19.5" customHeight="1" thickBot="1">
      <c r="A219" s="465" t="s">
        <v>411</v>
      </c>
      <c r="B219" s="467" t="s">
        <v>11</v>
      </c>
      <c r="C219" s="100" t="s">
        <v>12</v>
      </c>
      <c r="D219" s="469" t="s">
        <v>15</v>
      </c>
      <c r="E219" s="470"/>
      <c r="F219" s="471"/>
      <c r="G219" s="101" t="s">
        <v>16</v>
      </c>
      <c r="H219" s="469" t="s">
        <v>389</v>
      </c>
      <c r="I219" s="472"/>
      <c r="J219" s="472"/>
      <c r="K219" s="472"/>
      <c r="L219" s="472"/>
      <c r="M219" s="472"/>
      <c r="N219" s="472"/>
      <c r="O219" s="473"/>
      <c r="P219" s="469" t="s">
        <v>382</v>
      </c>
      <c r="Q219" s="470"/>
      <c r="R219" s="472"/>
      <c r="S219" s="472"/>
      <c r="T219" s="473"/>
      <c r="U219" s="363"/>
      <c r="V219" s="78"/>
    </row>
    <row r="220" spans="1:22" ht="36" customHeight="1" thickBot="1">
      <c r="A220" s="466"/>
      <c r="B220" s="468"/>
      <c r="C220" s="350" t="s">
        <v>17</v>
      </c>
      <c r="D220" s="103" t="s">
        <v>18</v>
      </c>
      <c r="E220" s="103" t="s">
        <v>19</v>
      </c>
      <c r="F220" s="103" t="s">
        <v>20</v>
      </c>
      <c r="G220" s="369" t="s">
        <v>21</v>
      </c>
      <c r="H220" s="367" t="s">
        <v>416</v>
      </c>
      <c r="I220" s="367" t="s">
        <v>383</v>
      </c>
      <c r="J220" s="367" t="s">
        <v>384</v>
      </c>
      <c r="K220" s="367" t="s">
        <v>385</v>
      </c>
      <c r="L220" s="367" t="s">
        <v>386</v>
      </c>
      <c r="M220" s="367" t="s">
        <v>418</v>
      </c>
      <c r="N220" s="368" t="s">
        <v>419</v>
      </c>
      <c r="O220" s="368" t="s">
        <v>420</v>
      </c>
      <c r="P220" s="125" t="s">
        <v>387</v>
      </c>
      <c r="Q220" s="125" t="s">
        <v>414</v>
      </c>
      <c r="R220" s="125" t="s">
        <v>388</v>
      </c>
      <c r="S220" s="125" t="s">
        <v>417</v>
      </c>
      <c r="T220" s="98" t="s">
        <v>415</v>
      </c>
      <c r="U220" s="363"/>
      <c r="V220" s="78"/>
    </row>
    <row r="221" spans="1:22" ht="19.5" customHeight="1" thickBot="1">
      <c r="A221" s="299"/>
      <c r="B221" s="300" t="s">
        <v>22</v>
      </c>
      <c r="C221" s="301"/>
      <c r="D221" s="302"/>
      <c r="E221" s="302"/>
      <c r="F221" s="302"/>
      <c r="G221" s="302"/>
      <c r="H221" s="302"/>
      <c r="I221" s="302"/>
      <c r="J221" s="302"/>
      <c r="K221" s="302"/>
      <c r="L221" s="302"/>
      <c r="M221" s="302"/>
      <c r="N221" s="302"/>
      <c r="O221" s="302"/>
      <c r="P221" s="302"/>
      <c r="Q221" s="302"/>
      <c r="R221" s="302"/>
      <c r="S221" s="302"/>
      <c r="T221" s="303"/>
      <c r="U221" s="363"/>
      <c r="V221" s="78"/>
    </row>
    <row r="222" spans="1:22" ht="40.5" customHeight="1">
      <c r="A222" s="440" t="s">
        <v>448</v>
      </c>
      <c r="B222" s="447" t="s">
        <v>449</v>
      </c>
      <c r="C222" s="129">
        <v>160</v>
      </c>
      <c r="D222" s="130">
        <v>14.6</v>
      </c>
      <c r="E222" s="130">
        <v>15.6</v>
      </c>
      <c r="F222" s="441">
        <v>33.5</v>
      </c>
      <c r="G222" s="130">
        <v>365</v>
      </c>
      <c r="H222" s="441">
        <v>158.67</v>
      </c>
      <c r="I222" s="130">
        <v>14</v>
      </c>
      <c r="J222" s="130">
        <v>15</v>
      </c>
      <c r="K222" s="442">
        <v>431</v>
      </c>
      <c r="L222" s="130">
        <v>5</v>
      </c>
      <c r="M222" s="441">
        <v>4.4</v>
      </c>
      <c r="N222" s="130">
        <v>22.74</v>
      </c>
      <c r="O222" s="442">
        <v>133.06</v>
      </c>
      <c r="P222" s="130">
        <v>0.19</v>
      </c>
      <c r="Q222" s="408">
        <v>1.148</v>
      </c>
      <c r="R222" s="130">
        <v>13</v>
      </c>
      <c r="S222" s="423">
        <v>5.58</v>
      </c>
      <c r="T222" s="130">
        <v>0</v>
      </c>
      <c r="U222" s="363"/>
      <c r="V222" s="78"/>
    </row>
    <row r="223" spans="1:22" ht="24" customHeight="1">
      <c r="A223" s="351" t="s">
        <v>406</v>
      </c>
      <c r="B223" s="320" t="s">
        <v>394</v>
      </c>
      <c r="C223" s="341">
        <v>30</v>
      </c>
      <c r="D223" s="106">
        <v>1.88</v>
      </c>
      <c r="E223" s="106">
        <v>0.2</v>
      </c>
      <c r="F223" s="106">
        <v>12.85</v>
      </c>
      <c r="G223" s="118">
        <v>60.7</v>
      </c>
      <c r="H223" s="118">
        <v>166</v>
      </c>
      <c r="I223" s="106">
        <v>4.75</v>
      </c>
      <c r="J223" s="106">
        <v>16.25</v>
      </c>
      <c r="K223" s="106">
        <v>3.25</v>
      </c>
      <c r="L223" s="106">
        <v>0.3</v>
      </c>
      <c r="M223" s="106">
        <v>1.1</v>
      </c>
      <c r="N223" s="106">
        <v>2</v>
      </c>
      <c r="O223" s="106">
        <v>4.8</v>
      </c>
      <c r="P223" s="106">
        <v>0.03</v>
      </c>
      <c r="Q223" s="106">
        <v>0.01</v>
      </c>
      <c r="R223" s="106">
        <v>0</v>
      </c>
      <c r="S223" s="106">
        <v>0</v>
      </c>
      <c r="T223" s="106">
        <v>0</v>
      </c>
      <c r="U223" s="363"/>
      <c r="V223" s="78"/>
    </row>
    <row r="224" spans="1:22" ht="21" customHeight="1">
      <c r="A224" s="352" t="s">
        <v>31</v>
      </c>
      <c r="B224" s="342" t="s">
        <v>381</v>
      </c>
      <c r="C224" s="119">
        <v>200</v>
      </c>
      <c r="D224" s="106">
        <v>3.77</v>
      </c>
      <c r="E224" s="106">
        <v>2.5</v>
      </c>
      <c r="F224" s="106">
        <v>26</v>
      </c>
      <c r="G224" s="118">
        <v>151.28</v>
      </c>
      <c r="H224" s="118">
        <v>146</v>
      </c>
      <c r="I224" s="118">
        <v>221</v>
      </c>
      <c r="J224" s="118">
        <v>14</v>
      </c>
      <c r="K224" s="118">
        <v>3.2</v>
      </c>
      <c r="L224" s="118">
        <v>1</v>
      </c>
      <c r="M224" s="118">
        <v>0.9</v>
      </c>
      <c r="N224" s="118">
        <v>2</v>
      </c>
      <c r="O224" s="118">
        <v>20</v>
      </c>
      <c r="P224" s="118">
        <v>0.3</v>
      </c>
      <c r="Q224" s="118">
        <v>0.15</v>
      </c>
      <c r="R224" s="118">
        <v>15</v>
      </c>
      <c r="S224" s="365">
        <v>130</v>
      </c>
      <c r="T224" s="118">
        <v>2.5</v>
      </c>
      <c r="U224" s="363"/>
      <c r="V224" s="78"/>
    </row>
    <row r="225" spans="1:22" ht="27" customHeight="1" thickBot="1">
      <c r="A225" s="349" t="s">
        <v>408</v>
      </c>
      <c r="B225" s="444" t="s">
        <v>397</v>
      </c>
      <c r="C225" s="356">
        <v>150</v>
      </c>
      <c r="D225" s="358">
        <v>0.4</v>
      </c>
      <c r="E225" s="358">
        <v>0.4</v>
      </c>
      <c r="F225" s="358">
        <v>9.5</v>
      </c>
      <c r="G225" s="357">
        <v>43</v>
      </c>
      <c r="H225" s="357">
        <v>230</v>
      </c>
      <c r="I225" s="358">
        <v>30</v>
      </c>
      <c r="J225" s="358">
        <v>11</v>
      </c>
      <c r="K225" s="359">
        <v>17</v>
      </c>
      <c r="L225" s="358">
        <v>0.1</v>
      </c>
      <c r="M225" s="358">
        <v>1.76</v>
      </c>
      <c r="N225" s="358">
        <v>0.26</v>
      </c>
      <c r="O225" s="358">
        <v>7.04</v>
      </c>
      <c r="P225" s="358">
        <v>0.04</v>
      </c>
      <c r="Q225" s="358">
        <v>0.016</v>
      </c>
      <c r="R225" s="358">
        <v>35</v>
      </c>
      <c r="S225" s="358">
        <v>3</v>
      </c>
      <c r="T225" s="358">
        <v>0</v>
      </c>
      <c r="U225" s="363"/>
      <c r="V225" s="78"/>
    </row>
    <row r="226" spans="1:35" s="25" customFormat="1" ht="19.5" customHeight="1" thickBot="1">
      <c r="A226" s="293"/>
      <c r="B226" s="293" t="s">
        <v>226</v>
      </c>
      <c r="C226" s="347">
        <f aca="true" t="shared" si="11" ref="C226:T226">SUM(C222:C225)</f>
        <v>540</v>
      </c>
      <c r="D226" s="395">
        <f t="shared" si="11"/>
        <v>20.65</v>
      </c>
      <c r="E226" s="395">
        <f t="shared" si="11"/>
        <v>18.699999999999996</v>
      </c>
      <c r="F226" s="395">
        <f t="shared" si="11"/>
        <v>81.85</v>
      </c>
      <c r="G226" s="395">
        <f t="shared" si="11"/>
        <v>619.98</v>
      </c>
      <c r="H226" s="395">
        <f t="shared" si="11"/>
        <v>700.67</v>
      </c>
      <c r="I226" s="395">
        <f t="shared" si="11"/>
        <v>269.75</v>
      </c>
      <c r="J226" s="395">
        <f t="shared" si="11"/>
        <v>56.25</v>
      </c>
      <c r="K226" s="395">
        <f t="shared" si="11"/>
        <v>454.45</v>
      </c>
      <c r="L226" s="395">
        <f t="shared" si="11"/>
        <v>6.3999999999999995</v>
      </c>
      <c r="M226" s="395">
        <f t="shared" si="11"/>
        <v>8.16</v>
      </c>
      <c r="N226" s="395">
        <f t="shared" si="11"/>
        <v>27</v>
      </c>
      <c r="O226" s="395">
        <f t="shared" si="11"/>
        <v>164.9</v>
      </c>
      <c r="P226" s="395">
        <f t="shared" si="11"/>
        <v>0.56</v>
      </c>
      <c r="Q226" s="395">
        <f t="shared" si="11"/>
        <v>1.3239999999999998</v>
      </c>
      <c r="R226" s="395">
        <f t="shared" si="11"/>
        <v>63</v>
      </c>
      <c r="S226" s="395">
        <f t="shared" si="11"/>
        <v>138.58</v>
      </c>
      <c r="T226" s="395">
        <f t="shared" si="11"/>
        <v>2.5</v>
      </c>
      <c r="U226" s="363"/>
      <c r="V226" s="78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1:35" s="25" customFormat="1" ht="19.5" customHeight="1">
      <c r="A227" s="316"/>
      <c r="B227" s="316"/>
      <c r="C227" s="415"/>
      <c r="D227" s="419"/>
      <c r="E227" s="419"/>
      <c r="F227" s="419"/>
      <c r="G227" s="419"/>
      <c r="H227" s="420"/>
      <c r="I227" s="420"/>
      <c r="J227" s="420"/>
      <c r="K227" s="420"/>
      <c r="L227" s="420"/>
      <c r="M227" s="420"/>
      <c r="N227" s="420"/>
      <c r="O227" s="420"/>
      <c r="P227" s="420"/>
      <c r="Q227" s="420"/>
      <c r="R227" s="420"/>
      <c r="S227" s="420"/>
      <c r="T227" s="362"/>
      <c r="U227" s="363"/>
      <c r="V227" s="78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1:35" s="25" customFormat="1" ht="19.5" customHeight="1">
      <c r="A228" s="316"/>
      <c r="B228" s="316"/>
      <c r="C228" s="415"/>
      <c r="D228" s="419"/>
      <c r="E228" s="419"/>
      <c r="F228" s="419"/>
      <c r="G228" s="419"/>
      <c r="H228" s="420"/>
      <c r="I228" s="420"/>
      <c r="J228" s="420"/>
      <c r="K228" s="420"/>
      <c r="L228" s="420"/>
      <c r="M228" s="420"/>
      <c r="N228" s="420"/>
      <c r="O228" s="420"/>
      <c r="P228" s="420"/>
      <c r="Q228" s="420"/>
      <c r="R228" s="420"/>
      <c r="S228" s="420"/>
      <c r="T228" s="362"/>
      <c r="U228" s="363"/>
      <c r="V228" s="78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s="25" customFormat="1" ht="19.5" customHeight="1">
      <c r="A229" s="316"/>
      <c r="B229" s="316"/>
      <c r="C229" s="415"/>
      <c r="D229" s="419"/>
      <c r="E229" s="419"/>
      <c r="F229" s="419"/>
      <c r="G229" s="419"/>
      <c r="H229" s="420"/>
      <c r="I229" s="420"/>
      <c r="J229" s="420"/>
      <c r="K229" s="420"/>
      <c r="L229" s="420"/>
      <c r="M229" s="420"/>
      <c r="N229" s="420"/>
      <c r="O229" s="420"/>
      <c r="P229" s="420"/>
      <c r="Q229" s="420"/>
      <c r="R229" s="420"/>
      <c r="S229" s="420"/>
      <c r="T229" s="362"/>
      <c r="U229" s="363"/>
      <c r="V229" s="78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s="25" customFormat="1" ht="19.5" customHeight="1">
      <c r="A230" s="316"/>
      <c r="B230" s="316"/>
      <c r="C230" s="415"/>
      <c r="D230" s="419"/>
      <c r="E230" s="419"/>
      <c r="F230" s="419"/>
      <c r="G230" s="419"/>
      <c r="H230" s="420"/>
      <c r="I230" s="420"/>
      <c r="J230" s="420"/>
      <c r="K230" s="420"/>
      <c r="L230" s="420"/>
      <c r="M230" s="420"/>
      <c r="N230" s="420"/>
      <c r="O230" s="420"/>
      <c r="P230" s="420"/>
      <c r="Q230" s="420"/>
      <c r="R230" s="420"/>
      <c r="S230" s="420"/>
      <c r="T230" s="362"/>
      <c r="U230" s="363"/>
      <c r="V230" s="78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s="25" customFormat="1" ht="19.5" customHeight="1">
      <c r="A231" s="316"/>
      <c r="B231" s="316"/>
      <c r="C231" s="415"/>
      <c r="D231" s="419"/>
      <c r="E231" s="419"/>
      <c r="F231" s="419"/>
      <c r="G231" s="419"/>
      <c r="H231" s="420"/>
      <c r="I231" s="420"/>
      <c r="J231" s="420"/>
      <c r="K231" s="420"/>
      <c r="L231" s="420"/>
      <c r="M231" s="420"/>
      <c r="N231" s="420"/>
      <c r="O231" s="420"/>
      <c r="P231" s="420"/>
      <c r="Q231" s="420"/>
      <c r="R231" s="420"/>
      <c r="S231" s="420"/>
      <c r="T231" s="362"/>
      <c r="U231" s="363"/>
      <c r="V231" s="78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s="25" customFormat="1" ht="19.5" customHeight="1">
      <c r="A232" s="316"/>
      <c r="B232" s="316"/>
      <c r="C232" s="415"/>
      <c r="D232" s="419"/>
      <c r="E232" s="419"/>
      <c r="F232" s="419"/>
      <c r="G232" s="419"/>
      <c r="H232" s="420"/>
      <c r="I232" s="420"/>
      <c r="J232" s="420"/>
      <c r="K232" s="420"/>
      <c r="L232" s="420"/>
      <c r="M232" s="420"/>
      <c r="N232" s="420"/>
      <c r="O232" s="420"/>
      <c r="P232" s="420"/>
      <c r="Q232" s="420"/>
      <c r="R232" s="420"/>
      <c r="S232" s="420"/>
      <c r="T232" s="362"/>
      <c r="U232" s="363"/>
      <c r="V232" s="78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s="25" customFormat="1" ht="16.5" customHeight="1">
      <c r="A233" s="307"/>
      <c r="B233" s="325"/>
      <c r="C233" s="41"/>
      <c r="D233" s="40"/>
      <c r="E233" s="298"/>
      <c r="F233" s="298"/>
      <c r="G233" s="40"/>
      <c r="H233" s="298"/>
      <c r="I233" s="298"/>
      <c r="J233" s="298"/>
      <c r="K233" s="298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s="25" customFormat="1" ht="16.5" customHeight="1">
      <c r="A234" s="307"/>
      <c r="B234" s="325" t="s">
        <v>356</v>
      </c>
      <c r="C234" s="41"/>
      <c r="D234" s="40"/>
      <c r="E234" s="298" t="s">
        <v>422</v>
      </c>
      <c r="F234" s="298"/>
      <c r="G234" s="40"/>
      <c r="H234" s="298" t="s">
        <v>436</v>
      </c>
      <c r="I234" s="298"/>
      <c r="J234" s="298"/>
      <c r="K234" s="298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s="25" customFormat="1" ht="16.5" customHeight="1">
      <c r="A235" s="307"/>
      <c r="B235" s="325" t="s">
        <v>135</v>
      </c>
      <c r="C235" s="41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s="25" customFormat="1" ht="18" customHeight="1">
      <c r="A236" s="295"/>
      <c r="B236" s="325" t="s">
        <v>473</v>
      </c>
      <c r="C236" s="295"/>
      <c r="D236" s="298"/>
      <c r="E236" s="298"/>
      <c r="F236" s="298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s="25" customFormat="1" ht="18" customHeight="1" thickBot="1">
      <c r="A237" s="295"/>
      <c r="B237" s="20" t="s">
        <v>433</v>
      </c>
      <c r="C237" s="316"/>
      <c r="D237" s="40"/>
      <c r="E237" s="298"/>
      <c r="F237" s="298"/>
      <c r="G237" s="298"/>
      <c r="H237" s="298"/>
      <c r="I237" s="298"/>
      <c r="J237" s="298"/>
      <c r="K237" s="298"/>
      <c r="L237" s="298"/>
      <c r="M237" s="298"/>
      <c r="N237" s="298"/>
      <c r="O237" s="298"/>
      <c r="P237" s="298"/>
      <c r="Q237" s="298"/>
      <c r="R237" s="298"/>
      <c r="S237" s="298"/>
      <c r="T237" s="298"/>
      <c r="U237" s="298"/>
      <c r="V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s="25" customFormat="1" ht="23.25" customHeight="1" thickBot="1">
      <c r="A238" s="465" t="s">
        <v>411</v>
      </c>
      <c r="B238" s="467" t="s">
        <v>11</v>
      </c>
      <c r="C238" s="100" t="s">
        <v>12</v>
      </c>
      <c r="D238" s="469" t="s">
        <v>15</v>
      </c>
      <c r="E238" s="470"/>
      <c r="F238" s="471"/>
      <c r="G238" s="101" t="s">
        <v>16</v>
      </c>
      <c r="H238" s="469" t="s">
        <v>389</v>
      </c>
      <c r="I238" s="472"/>
      <c r="J238" s="472"/>
      <c r="K238" s="472"/>
      <c r="L238" s="472"/>
      <c r="M238" s="472"/>
      <c r="N238" s="472"/>
      <c r="O238" s="473"/>
      <c r="P238" s="469" t="s">
        <v>382</v>
      </c>
      <c r="Q238" s="470"/>
      <c r="R238" s="472"/>
      <c r="S238" s="472"/>
      <c r="T238" s="473"/>
      <c r="U238" s="360"/>
      <c r="V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s="25" customFormat="1" ht="34.5" customHeight="1" thickBot="1">
      <c r="A239" s="466"/>
      <c r="B239" s="474"/>
      <c r="C239" s="350" t="s">
        <v>17</v>
      </c>
      <c r="D239" s="103" t="s">
        <v>18</v>
      </c>
      <c r="E239" s="103" t="s">
        <v>19</v>
      </c>
      <c r="F239" s="103" t="s">
        <v>20</v>
      </c>
      <c r="G239" s="369" t="s">
        <v>21</v>
      </c>
      <c r="H239" s="367" t="s">
        <v>416</v>
      </c>
      <c r="I239" s="367" t="s">
        <v>383</v>
      </c>
      <c r="J239" s="367" t="s">
        <v>384</v>
      </c>
      <c r="K239" s="367" t="s">
        <v>385</v>
      </c>
      <c r="L239" s="367" t="s">
        <v>386</v>
      </c>
      <c r="M239" s="367" t="s">
        <v>418</v>
      </c>
      <c r="N239" s="368" t="s">
        <v>419</v>
      </c>
      <c r="O239" s="368" t="s">
        <v>420</v>
      </c>
      <c r="P239" s="125" t="s">
        <v>387</v>
      </c>
      <c r="Q239" s="125" t="s">
        <v>414</v>
      </c>
      <c r="R239" s="125" t="s">
        <v>388</v>
      </c>
      <c r="S239" s="125" t="s">
        <v>417</v>
      </c>
      <c r="T239" s="98" t="s">
        <v>415</v>
      </c>
      <c r="U239" s="57"/>
      <c r="V239" s="78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s="25" customFormat="1" ht="16.5" customHeight="1" thickBot="1">
      <c r="A240" s="299"/>
      <c r="B240" s="300" t="s">
        <v>22</v>
      </c>
      <c r="C240" s="301"/>
      <c r="D240" s="302"/>
      <c r="E240" s="302"/>
      <c r="F240" s="302"/>
      <c r="G240" s="302"/>
      <c r="H240" s="302"/>
      <c r="I240" s="302"/>
      <c r="J240" s="302"/>
      <c r="K240" s="302"/>
      <c r="L240" s="302"/>
      <c r="M240" s="302"/>
      <c r="N240" s="302"/>
      <c r="O240" s="302"/>
      <c r="P240" s="302"/>
      <c r="Q240" s="302"/>
      <c r="R240" s="302"/>
      <c r="S240" s="302"/>
      <c r="T240" s="303"/>
      <c r="U240" s="323"/>
      <c r="V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s="25" customFormat="1" ht="24.75" customHeight="1">
      <c r="A241" s="381" t="s">
        <v>379</v>
      </c>
      <c r="B241" s="319" t="s">
        <v>450</v>
      </c>
      <c r="C241" s="117">
        <v>60</v>
      </c>
      <c r="D241" s="118">
        <v>0.55</v>
      </c>
      <c r="E241" s="106">
        <v>0.1</v>
      </c>
      <c r="F241" s="106">
        <v>3.8</v>
      </c>
      <c r="G241" s="118">
        <v>12</v>
      </c>
      <c r="H241" s="118">
        <v>145</v>
      </c>
      <c r="I241" s="118">
        <v>5.5</v>
      </c>
      <c r="J241" s="118">
        <v>10.5</v>
      </c>
      <c r="K241" s="118">
        <v>3.5</v>
      </c>
      <c r="L241" s="118">
        <v>0.15</v>
      </c>
      <c r="M241" s="118">
        <v>0.4</v>
      </c>
      <c r="N241" s="118">
        <v>0.2</v>
      </c>
      <c r="O241" s="118">
        <v>10</v>
      </c>
      <c r="P241" s="118">
        <v>0.04</v>
      </c>
      <c r="Q241" s="118">
        <v>0.02</v>
      </c>
      <c r="R241" s="118">
        <v>15</v>
      </c>
      <c r="S241" s="118">
        <v>66.5</v>
      </c>
      <c r="T241" s="118">
        <v>0</v>
      </c>
      <c r="U241" s="306"/>
      <c r="V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21" ht="21" customHeight="1">
      <c r="A242" s="381" t="s">
        <v>403</v>
      </c>
      <c r="B242" s="292" t="s">
        <v>402</v>
      </c>
      <c r="C242" s="105">
        <v>110</v>
      </c>
      <c r="D242" s="118">
        <v>13</v>
      </c>
      <c r="E242" s="106">
        <v>13.2</v>
      </c>
      <c r="F242" s="106">
        <v>10.54</v>
      </c>
      <c r="G242" s="106">
        <v>193</v>
      </c>
      <c r="H242" s="106">
        <v>121</v>
      </c>
      <c r="I242" s="106">
        <v>100.84</v>
      </c>
      <c r="J242" s="373">
        <v>143.76</v>
      </c>
      <c r="K242" s="106">
        <v>17.24</v>
      </c>
      <c r="L242" s="106">
        <v>1.14</v>
      </c>
      <c r="M242" s="106">
        <v>2.7</v>
      </c>
      <c r="N242" s="106">
        <v>10</v>
      </c>
      <c r="O242" s="106">
        <v>57</v>
      </c>
      <c r="P242" s="106">
        <v>0.08</v>
      </c>
      <c r="Q242" s="106">
        <v>0.028</v>
      </c>
      <c r="R242" s="106">
        <v>0.36</v>
      </c>
      <c r="S242" s="106">
        <v>44.4</v>
      </c>
      <c r="T242" s="290">
        <v>0.01</v>
      </c>
      <c r="U242" s="314"/>
    </row>
    <row r="243" spans="1:21" ht="18" customHeight="1">
      <c r="A243" s="109" t="s">
        <v>362</v>
      </c>
      <c r="B243" s="292" t="s">
        <v>355</v>
      </c>
      <c r="C243" s="105">
        <v>180</v>
      </c>
      <c r="D243" s="118">
        <v>3.78</v>
      </c>
      <c r="E243" s="106">
        <v>8.1</v>
      </c>
      <c r="F243" s="106">
        <v>26.28</v>
      </c>
      <c r="G243" s="106">
        <v>196.2</v>
      </c>
      <c r="H243" s="130">
        <v>471</v>
      </c>
      <c r="I243" s="410">
        <v>47</v>
      </c>
      <c r="J243" s="410">
        <v>29</v>
      </c>
      <c r="K243" s="410">
        <v>85</v>
      </c>
      <c r="L243" s="410">
        <v>1.1</v>
      </c>
      <c r="M243" s="410">
        <v>4.4</v>
      </c>
      <c r="N243" s="410">
        <v>0.24</v>
      </c>
      <c r="O243" s="410">
        <v>26.4</v>
      </c>
      <c r="P243" s="410">
        <v>0.14</v>
      </c>
      <c r="Q243" s="410">
        <v>0.06</v>
      </c>
      <c r="R243" s="410">
        <v>5</v>
      </c>
      <c r="S243" s="410">
        <v>1.8</v>
      </c>
      <c r="T243" s="410">
        <v>0.06</v>
      </c>
      <c r="U243" s="306"/>
    </row>
    <row r="244" spans="1:21" ht="17.25" customHeight="1">
      <c r="A244" s="351" t="s">
        <v>406</v>
      </c>
      <c r="B244" s="308" t="s">
        <v>373</v>
      </c>
      <c r="C244" s="159">
        <v>25</v>
      </c>
      <c r="D244" s="106">
        <v>1.4</v>
      </c>
      <c r="E244" s="106">
        <v>0.28</v>
      </c>
      <c r="F244" s="106">
        <v>10.25</v>
      </c>
      <c r="G244" s="106">
        <v>51.5</v>
      </c>
      <c r="H244" s="106">
        <v>78</v>
      </c>
      <c r="I244" s="106">
        <v>7.25</v>
      </c>
      <c r="J244" s="106">
        <v>37.5</v>
      </c>
      <c r="K244" s="106">
        <v>11.75</v>
      </c>
      <c r="L244" s="106">
        <v>0.95</v>
      </c>
      <c r="M244" s="106">
        <v>1.4</v>
      </c>
      <c r="N244" s="106">
        <v>1.8</v>
      </c>
      <c r="O244" s="106">
        <v>8</v>
      </c>
      <c r="P244" s="106">
        <v>0.04</v>
      </c>
      <c r="Q244" s="106">
        <v>0.08</v>
      </c>
      <c r="R244" s="106">
        <v>0</v>
      </c>
      <c r="S244" s="106">
        <v>0</v>
      </c>
      <c r="T244" s="106">
        <v>0</v>
      </c>
      <c r="U244" s="314"/>
    </row>
    <row r="245" spans="1:21" ht="17.25" customHeight="1">
      <c r="A245" s="381" t="s">
        <v>361</v>
      </c>
      <c r="B245" s="292" t="s">
        <v>370</v>
      </c>
      <c r="C245" s="112">
        <v>200</v>
      </c>
      <c r="D245" s="106">
        <v>0.2</v>
      </c>
      <c r="E245" s="106">
        <v>0</v>
      </c>
      <c r="F245" s="106">
        <v>10</v>
      </c>
      <c r="G245" s="111">
        <v>41</v>
      </c>
      <c r="H245" s="111">
        <v>0</v>
      </c>
      <c r="I245" s="106">
        <v>5</v>
      </c>
      <c r="J245" s="106">
        <v>4</v>
      </c>
      <c r="K245" s="106">
        <v>8</v>
      </c>
      <c r="L245" s="106">
        <v>1</v>
      </c>
      <c r="M245" s="106">
        <v>0</v>
      </c>
      <c r="N245" s="106">
        <v>0</v>
      </c>
      <c r="O245" s="106">
        <v>0</v>
      </c>
      <c r="P245" s="106">
        <v>0</v>
      </c>
      <c r="Q245" s="106">
        <v>0</v>
      </c>
      <c r="R245" s="106">
        <v>0</v>
      </c>
      <c r="S245" s="106">
        <v>0</v>
      </c>
      <c r="T245" s="106">
        <v>0</v>
      </c>
      <c r="U245" s="310"/>
    </row>
    <row r="246" spans="1:21" ht="24" customHeight="1" thickBot="1">
      <c r="A246" s="424" t="s">
        <v>408</v>
      </c>
      <c r="B246" s="292" t="s">
        <v>276</v>
      </c>
      <c r="C246" s="112">
        <v>50</v>
      </c>
      <c r="D246" s="106">
        <v>1.88</v>
      </c>
      <c r="E246" s="106">
        <v>2.5</v>
      </c>
      <c r="F246" s="106">
        <v>18.5</v>
      </c>
      <c r="G246" s="111">
        <v>104</v>
      </c>
      <c r="H246" s="111">
        <v>55</v>
      </c>
      <c r="I246" s="106">
        <v>5</v>
      </c>
      <c r="J246" s="106">
        <v>4</v>
      </c>
      <c r="K246" s="106">
        <v>8</v>
      </c>
      <c r="L246" s="106">
        <v>1</v>
      </c>
      <c r="M246" s="106">
        <v>0</v>
      </c>
      <c r="N246" s="106">
        <v>0</v>
      </c>
      <c r="O246" s="106">
        <v>0</v>
      </c>
      <c r="P246" s="106">
        <v>0.01</v>
      </c>
      <c r="Q246" s="106">
        <v>0.02</v>
      </c>
      <c r="R246" s="106">
        <v>1.23</v>
      </c>
      <c r="S246" s="106">
        <v>1.7</v>
      </c>
      <c r="T246" s="290">
        <v>0</v>
      </c>
      <c r="U246" s="310"/>
    </row>
    <row r="247" spans="1:24" ht="19.5" customHeight="1" thickBot="1">
      <c r="A247" s="329"/>
      <c r="B247" s="330" t="s">
        <v>354</v>
      </c>
      <c r="C247" s="392">
        <v>597</v>
      </c>
      <c r="D247" s="354">
        <f aca="true" t="shared" si="12" ref="D247:T247">SUM(D241:D246)</f>
        <v>20.81</v>
      </c>
      <c r="E247" s="354">
        <f t="shared" si="12"/>
        <v>24.18</v>
      </c>
      <c r="F247" s="354">
        <f t="shared" si="12"/>
        <v>79.37</v>
      </c>
      <c r="G247" s="354">
        <f t="shared" si="12"/>
        <v>597.7</v>
      </c>
      <c r="H247" s="354">
        <f t="shared" si="12"/>
        <v>870</v>
      </c>
      <c r="I247" s="354">
        <f t="shared" si="12"/>
        <v>170.59</v>
      </c>
      <c r="J247" s="354">
        <f t="shared" si="12"/>
        <v>228.76</v>
      </c>
      <c r="K247" s="354">
        <f t="shared" si="12"/>
        <v>133.49</v>
      </c>
      <c r="L247" s="354">
        <f t="shared" si="12"/>
        <v>5.34</v>
      </c>
      <c r="M247" s="354">
        <f t="shared" si="12"/>
        <v>8.9</v>
      </c>
      <c r="N247" s="354">
        <f t="shared" si="12"/>
        <v>12.24</v>
      </c>
      <c r="O247" s="354">
        <f t="shared" si="12"/>
        <v>101.4</v>
      </c>
      <c r="P247" s="354">
        <f t="shared" si="12"/>
        <v>0.31</v>
      </c>
      <c r="Q247" s="354">
        <f t="shared" si="12"/>
        <v>0.208</v>
      </c>
      <c r="R247" s="354">
        <f t="shared" si="12"/>
        <v>21.59</v>
      </c>
      <c r="S247" s="354">
        <f t="shared" si="12"/>
        <v>114.4</v>
      </c>
      <c r="T247" s="354">
        <f t="shared" si="12"/>
        <v>0.06999999999999999</v>
      </c>
      <c r="U247" s="40"/>
      <c r="V247" s="219"/>
      <c r="W247" s="220"/>
      <c r="X247" s="219"/>
    </row>
    <row r="248" spans="1:24" ht="24" customHeight="1" thickBot="1">
      <c r="A248" s="315"/>
      <c r="B248" s="316"/>
      <c r="C248" s="80"/>
      <c r="D248" s="418"/>
      <c r="E248" s="298" t="s">
        <v>423</v>
      </c>
      <c r="F248" s="298"/>
      <c r="G248" s="418"/>
      <c r="H248" s="418"/>
      <c r="I248" s="418"/>
      <c r="J248" s="418"/>
      <c r="K248" s="418"/>
      <c r="L248" s="418"/>
      <c r="M248" s="418"/>
      <c r="N248" s="418"/>
      <c r="O248" s="418"/>
      <c r="P248" s="418"/>
      <c r="Q248" s="418"/>
      <c r="R248" s="418"/>
      <c r="S248" s="418"/>
      <c r="T248" s="418"/>
      <c r="U248" s="40"/>
      <c r="V248" s="219"/>
      <c r="W248" s="220"/>
      <c r="X248" s="219"/>
    </row>
    <row r="249" spans="1:24" ht="19.5" customHeight="1" thickBot="1">
      <c r="A249" s="465" t="s">
        <v>411</v>
      </c>
      <c r="B249" s="467" t="s">
        <v>11</v>
      </c>
      <c r="C249" s="100" t="s">
        <v>12</v>
      </c>
      <c r="D249" s="469" t="s">
        <v>15</v>
      </c>
      <c r="E249" s="470"/>
      <c r="F249" s="471"/>
      <c r="G249" s="101" t="s">
        <v>16</v>
      </c>
      <c r="H249" s="469" t="s">
        <v>389</v>
      </c>
      <c r="I249" s="472"/>
      <c r="J249" s="472"/>
      <c r="K249" s="472"/>
      <c r="L249" s="472"/>
      <c r="M249" s="472"/>
      <c r="N249" s="472"/>
      <c r="O249" s="473"/>
      <c r="P249" s="469" t="s">
        <v>382</v>
      </c>
      <c r="Q249" s="470"/>
      <c r="R249" s="472"/>
      <c r="S249" s="472"/>
      <c r="T249" s="473"/>
      <c r="U249" s="40"/>
      <c r="V249" s="219"/>
      <c r="W249" s="220"/>
      <c r="X249" s="219"/>
    </row>
    <row r="250" spans="1:24" ht="30.75" customHeight="1" thickBot="1">
      <c r="A250" s="466"/>
      <c r="B250" s="474"/>
      <c r="C250" s="350" t="s">
        <v>17</v>
      </c>
      <c r="D250" s="103" t="s">
        <v>18</v>
      </c>
      <c r="E250" s="103" t="s">
        <v>19</v>
      </c>
      <c r="F250" s="103" t="s">
        <v>20</v>
      </c>
      <c r="G250" s="369" t="s">
        <v>21</v>
      </c>
      <c r="H250" s="367" t="s">
        <v>416</v>
      </c>
      <c r="I250" s="367" t="s">
        <v>383</v>
      </c>
      <c r="J250" s="367" t="s">
        <v>384</v>
      </c>
      <c r="K250" s="367" t="s">
        <v>385</v>
      </c>
      <c r="L250" s="367" t="s">
        <v>386</v>
      </c>
      <c r="M250" s="367" t="s">
        <v>418</v>
      </c>
      <c r="N250" s="368" t="s">
        <v>419</v>
      </c>
      <c r="O250" s="368" t="s">
        <v>420</v>
      </c>
      <c r="P250" s="125" t="s">
        <v>387</v>
      </c>
      <c r="Q250" s="125" t="s">
        <v>414</v>
      </c>
      <c r="R250" s="125" t="s">
        <v>388</v>
      </c>
      <c r="S250" s="125" t="s">
        <v>417</v>
      </c>
      <c r="T250" s="98" t="s">
        <v>415</v>
      </c>
      <c r="U250" s="40"/>
      <c r="V250" s="219"/>
      <c r="W250" s="220"/>
      <c r="X250" s="219"/>
    </row>
    <row r="251" spans="1:24" ht="19.5" customHeight="1" thickBot="1">
      <c r="A251" s="299"/>
      <c r="B251" s="300" t="s">
        <v>22</v>
      </c>
      <c r="C251" s="301"/>
      <c r="D251" s="302"/>
      <c r="E251" s="302"/>
      <c r="F251" s="302"/>
      <c r="G251" s="302"/>
      <c r="H251" s="302"/>
      <c r="I251" s="302"/>
      <c r="J251" s="302"/>
      <c r="K251" s="302"/>
      <c r="L251" s="302"/>
      <c r="M251" s="302"/>
      <c r="N251" s="302"/>
      <c r="O251" s="302"/>
      <c r="P251" s="302"/>
      <c r="Q251" s="302"/>
      <c r="R251" s="302"/>
      <c r="S251" s="302"/>
      <c r="T251" s="303"/>
      <c r="U251" s="40"/>
      <c r="V251" s="219"/>
      <c r="W251" s="220"/>
      <c r="X251" s="219"/>
    </row>
    <row r="252" spans="1:24" ht="26.25" customHeight="1">
      <c r="A252" s="381" t="s">
        <v>431</v>
      </c>
      <c r="B252" s="346" t="s">
        <v>463</v>
      </c>
      <c r="C252" s="117">
        <v>100</v>
      </c>
      <c r="D252" s="118">
        <v>3.26</v>
      </c>
      <c r="E252" s="106">
        <v>2.2</v>
      </c>
      <c r="F252" s="106">
        <v>3.5</v>
      </c>
      <c r="G252" s="118">
        <v>75</v>
      </c>
      <c r="H252" s="118">
        <v>241.6</v>
      </c>
      <c r="I252" s="118">
        <v>18.9</v>
      </c>
      <c r="J252" s="118">
        <v>21.7</v>
      </c>
      <c r="K252" s="118">
        <v>27.9</v>
      </c>
      <c r="L252" s="118">
        <v>0.9</v>
      </c>
      <c r="M252" s="118">
        <v>0.7</v>
      </c>
      <c r="N252" s="118">
        <v>0.33</v>
      </c>
      <c r="O252" s="118">
        <v>16.7</v>
      </c>
      <c r="P252" s="118">
        <v>0.06</v>
      </c>
      <c r="Q252" s="118">
        <v>0.03</v>
      </c>
      <c r="R252" s="118">
        <v>28</v>
      </c>
      <c r="S252" s="118">
        <v>0</v>
      </c>
      <c r="T252" s="118">
        <v>0</v>
      </c>
      <c r="U252" s="40"/>
      <c r="V252" s="219"/>
      <c r="W252" s="220"/>
      <c r="X252" s="219"/>
    </row>
    <row r="253" spans="1:24" ht="19.5" customHeight="1">
      <c r="A253" s="128" t="s">
        <v>451</v>
      </c>
      <c r="B253" s="447" t="s">
        <v>452</v>
      </c>
      <c r="C253" s="129">
        <v>100</v>
      </c>
      <c r="D253" s="130">
        <v>10.4</v>
      </c>
      <c r="E253" s="130">
        <v>9.6</v>
      </c>
      <c r="F253" s="441">
        <v>5.9</v>
      </c>
      <c r="G253" s="130">
        <v>163</v>
      </c>
      <c r="H253" s="441">
        <v>158.67</v>
      </c>
      <c r="I253" s="130">
        <v>14</v>
      </c>
      <c r="J253" s="130">
        <v>15</v>
      </c>
      <c r="K253" s="442">
        <v>431</v>
      </c>
      <c r="L253" s="130">
        <v>5</v>
      </c>
      <c r="M253" s="441">
        <v>4.4</v>
      </c>
      <c r="N253" s="130">
        <v>22.74</v>
      </c>
      <c r="O253" s="442">
        <v>133.06</v>
      </c>
      <c r="P253" s="130">
        <v>0.19</v>
      </c>
      <c r="Q253" s="408">
        <v>1.148</v>
      </c>
      <c r="R253" s="130">
        <v>13</v>
      </c>
      <c r="S253" s="423">
        <v>5.58</v>
      </c>
      <c r="T253" s="130">
        <v>0</v>
      </c>
      <c r="U253" s="40"/>
      <c r="V253" s="219"/>
      <c r="W253" s="220"/>
      <c r="X253" s="219"/>
    </row>
    <row r="254" spans="1:24" ht="19.5" customHeight="1">
      <c r="A254" s="104" t="s">
        <v>340</v>
      </c>
      <c r="B254" s="438" t="s">
        <v>216</v>
      </c>
      <c r="C254" s="169">
        <v>180</v>
      </c>
      <c r="D254" s="106">
        <v>3.6</v>
      </c>
      <c r="E254" s="106">
        <v>5.76</v>
      </c>
      <c r="F254" s="106">
        <v>37.56</v>
      </c>
      <c r="G254" s="106">
        <v>229.2</v>
      </c>
      <c r="H254" s="106">
        <v>61.2</v>
      </c>
      <c r="I254" s="106">
        <v>13.2</v>
      </c>
      <c r="J254" s="106">
        <v>8.4</v>
      </c>
      <c r="K254" s="106">
        <v>43.2</v>
      </c>
      <c r="L254" s="106">
        <v>0.96</v>
      </c>
      <c r="M254" s="106">
        <v>0.73</v>
      </c>
      <c r="N254" s="106">
        <v>0</v>
      </c>
      <c r="O254" s="106">
        <v>12.1</v>
      </c>
      <c r="P254" s="106">
        <v>0.07</v>
      </c>
      <c r="Q254" s="106">
        <v>0.1</v>
      </c>
      <c r="R254" s="106">
        <v>0.02</v>
      </c>
      <c r="S254" s="429">
        <v>0</v>
      </c>
      <c r="T254" s="106">
        <v>0.03</v>
      </c>
      <c r="U254" s="40"/>
      <c r="V254" s="219"/>
      <c r="W254" s="220"/>
      <c r="X254" s="219"/>
    </row>
    <row r="255" spans="1:24" ht="19.5" customHeight="1">
      <c r="A255" s="351" t="s">
        <v>406</v>
      </c>
      <c r="B255" s="308" t="s">
        <v>373</v>
      </c>
      <c r="C255" s="159">
        <v>25</v>
      </c>
      <c r="D255" s="106">
        <v>1.4</v>
      </c>
      <c r="E255" s="106">
        <v>0.28</v>
      </c>
      <c r="F255" s="106">
        <v>10.25</v>
      </c>
      <c r="G255" s="106">
        <v>51.5</v>
      </c>
      <c r="H255" s="106">
        <v>78</v>
      </c>
      <c r="I255" s="106">
        <v>7.25</v>
      </c>
      <c r="J255" s="106">
        <v>37.5</v>
      </c>
      <c r="K255" s="106">
        <v>11.75</v>
      </c>
      <c r="L255" s="106">
        <v>0.95</v>
      </c>
      <c r="M255" s="106">
        <v>1.4</v>
      </c>
      <c r="N255" s="106">
        <v>1.8</v>
      </c>
      <c r="O255" s="106">
        <v>8</v>
      </c>
      <c r="P255" s="106">
        <v>0.04</v>
      </c>
      <c r="Q255" s="106">
        <v>0.08</v>
      </c>
      <c r="R255" s="106">
        <v>0</v>
      </c>
      <c r="S255" s="106">
        <v>0</v>
      </c>
      <c r="T255" s="106">
        <v>0</v>
      </c>
      <c r="U255" s="40"/>
      <c r="V255" s="219"/>
      <c r="W255" s="220"/>
      <c r="X255" s="219"/>
    </row>
    <row r="256" spans="1:24" ht="22.5" customHeight="1">
      <c r="A256" s="178" t="s">
        <v>453</v>
      </c>
      <c r="B256" s="342" t="s">
        <v>454</v>
      </c>
      <c r="C256" s="112">
        <v>200</v>
      </c>
      <c r="D256" s="106">
        <v>0.4</v>
      </c>
      <c r="E256" s="106">
        <v>0.1</v>
      </c>
      <c r="F256" s="106">
        <v>18.4</v>
      </c>
      <c r="G256" s="111">
        <v>85</v>
      </c>
      <c r="H256" s="111">
        <v>56.2</v>
      </c>
      <c r="I256" s="106">
        <v>12.5</v>
      </c>
      <c r="J256" s="106">
        <v>10.1</v>
      </c>
      <c r="K256" s="106">
        <v>15.9</v>
      </c>
      <c r="L256" s="106">
        <v>1.1</v>
      </c>
      <c r="M256" s="106">
        <v>0</v>
      </c>
      <c r="N256" s="106">
        <v>0.04</v>
      </c>
      <c r="O256" s="106">
        <v>0.52</v>
      </c>
      <c r="P256" s="106">
        <v>0</v>
      </c>
      <c r="Q256" s="106">
        <v>0.01</v>
      </c>
      <c r="R256" s="106">
        <v>7.5</v>
      </c>
      <c r="S256" s="106">
        <v>0.31</v>
      </c>
      <c r="T256" s="106">
        <v>0</v>
      </c>
      <c r="U256" s="40"/>
      <c r="V256" s="219"/>
      <c r="W256" s="220"/>
      <c r="X256" s="219"/>
    </row>
    <row r="257" spans="1:24" ht="27" customHeight="1" thickBot="1">
      <c r="A257" s="424" t="s">
        <v>408</v>
      </c>
      <c r="B257" s="292" t="s">
        <v>276</v>
      </c>
      <c r="C257" s="112">
        <v>50</v>
      </c>
      <c r="D257" s="106">
        <v>1.88</v>
      </c>
      <c r="E257" s="106">
        <v>1.5</v>
      </c>
      <c r="F257" s="106">
        <v>16.5</v>
      </c>
      <c r="G257" s="111">
        <v>85</v>
      </c>
      <c r="H257" s="111">
        <v>55</v>
      </c>
      <c r="I257" s="106">
        <v>5</v>
      </c>
      <c r="J257" s="106">
        <v>4</v>
      </c>
      <c r="K257" s="106">
        <v>8</v>
      </c>
      <c r="L257" s="106">
        <v>1</v>
      </c>
      <c r="M257" s="106">
        <v>0</v>
      </c>
      <c r="N257" s="106">
        <v>0</v>
      </c>
      <c r="O257" s="106">
        <v>0</v>
      </c>
      <c r="P257" s="106">
        <v>0.01</v>
      </c>
      <c r="Q257" s="106">
        <v>0.02</v>
      </c>
      <c r="R257" s="106">
        <v>1.23</v>
      </c>
      <c r="S257" s="106">
        <v>1.7</v>
      </c>
      <c r="T257" s="106">
        <v>0</v>
      </c>
      <c r="U257" s="40"/>
      <c r="V257" s="219"/>
      <c r="W257" s="220"/>
      <c r="X257" s="219"/>
    </row>
    <row r="258" spans="1:24" ht="19.5" customHeight="1" thickBot="1">
      <c r="A258" s="329"/>
      <c r="B258" s="330" t="s">
        <v>354</v>
      </c>
      <c r="C258" s="392">
        <f aca="true" t="shared" si="13" ref="C258:T258">SUM(C252:C257)</f>
        <v>655</v>
      </c>
      <c r="D258" s="354">
        <f t="shared" si="13"/>
        <v>20.939999999999998</v>
      </c>
      <c r="E258" s="354">
        <f t="shared" si="13"/>
        <v>19.440000000000005</v>
      </c>
      <c r="F258" s="354">
        <f t="shared" si="13"/>
        <v>92.11</v>
      </c>
      <c r="G258" s="354">
        <f t="shared" si="13"/>
        <v>688.7</v>
      </c>
      <c r="H258" s="354">
        <f t="shared" si="13"/>
        <v>650.6700000000001</v>
      </c>
      <c r="I258" s="354">
        <f t="shared" si="13"/>
        <v>70.85</v>
      </c>
      <c r="J258" s="354">
        <f t="shared" si="13"/>
        <v>96.69999999999999</v>
      </c>
      <c r="K258" s="354">
        <f t="shared" si="13"/>
        <v>537.7499999999999</v>
      </c>
      <c r="L258" s="354">
        <f t="shared" si="13"/>
        <v>9.91</v>
      </c>
      <c r="M258" s="354">
        <f t="shared" si="13"/>
        <v>7.23</v>
      </c>
      <c r="N258" s="354">
        <f t="shared" si="13"/>
        <v>24.909999999999997</v>
      </c>
      <c r="O258" s="354">
        <f t="shared" si="13"/>
        <v>170.38</v>
      </c>
      <c r="P258" s="354">
        <f t="shared" si="13"/>
        <v>0.37</v>
      </c>
      <c r="Q258" s="354">
        <f t="shared" si="13"/>
        <v>1.3880000000000001</v>
      </c>
      <c r="R258" s="354">
        <f t="shared" si="13"/>
        <v>49.75</v>
      </c>
      <c r="S258" s="354">
        <f t="shared" si="13"/>
        <v>7.59</v>
      </c>
      <c r="T258" s="354">
        <f t="shared" si="13"/>
        <v>0.03</v>
      </c>
      <c r="U258" s="40"/>
      <c r="V258" s="219"/>
      <c r="W258" s="220"/>
      <c r="X258" s="219"/>
    </row>
    <row r="259" spans="1:24" ht="19.5" customHeight="1">
      <c r="A259" s="315"/>
      <c r="B259" s="316"/>
      <c r="C259" s="80"/>
      <c r="D259" s="418"/>
      <c r="E259" s="418"/>
      <c r="F259" s="418"/>
      <c r="G259" s="418"/>
      <c r="H259" s="418"/>
      <c r="I259" s="418"/>
      <c r="J259" s="418"/>
      <c r="K259" s="418"/>
      <c r="L259" s="418"/>
      <c r="M259" s="418"/>
      <c r="N259" s="418"/>
      <c r="O259" s="418"/>
      <c r="P259" s="418"/>
      <c r="Q259" s="418"/>
      <c r="R259" s="418"/>
      <c r="S259" s="418"/>
      <c r="T259" s="418"/>
      <c r="U259" s="40"/>
      <c r="V259" s="219"/>
      <c r="W259" s="220"/>
      <c r="X259" s="219"/>
    </row>
    <row r="260" spans="1:24" ht="19.5" customHeight="1">
      <c r="A260" s="315"/>
      <c r="B260" s="316"/>
      <c r="C260" s="80"/>
      <c r="D260" s="418"/>
      <c r="E260" s="418"/>
      <c r="F260" s="418"/>
      <c r="G260" s="418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  <c r="T260" s="418"/>
      <c r="U260" s="40"/>
      <c r="V260" s="219"/>
      <c r="W260" s="220"/>
      <c r="X260" s="219"/>
    </row>
    <row r="261" spans="1:24" ht="19.5" customHeight="1">
      <c r="A261" s="315"/>
      <c r="B261" s="316"/>
      <c r="C261" s="80"/>
      <c r="D261" s="418"/>
      <c r="E261" s="418"/>
      <c r="F261" s="418"/>
      <c r="G261" s="418"/>
      <c r="H261" s="418"/>
      <c r="I261" s="418"/>
      <c r="J261" s="418"/>
      <c r="K261" s="418"/>
      <c r="L261" s="418"/>
      <c r="M261" s="418"/>
      <c r="N261" s="418"/>
      <c r="O261" s="418"/>
      <c r="P261" s="418"/>
      <c r="Q261" s="418"/>
      <c r="R261" s="418"/>
      <c r="S261" s="418"/>
      <c r="T261" s="418"/>
      <c r="U261" s="40"/>
      <c r="V261" s="219"/>
      <c r="W261" s="220"/>
      <c r="X261" s="219"/>
    </row>
    <row r="262" spans="1:24" ht="19.5" customHeight="1">
      <c r="A262" s="315"/>
      <c r="B262" s="316"/>
      <c r="C262" s="80"/>
      <c r="D262" s="418"/>
      <c r="E262" s="418"/>
      <c r="F262" s="418"/>
      <c r="G262" s="418"/>
      <c r="H262" s="418"/>
      <c r="I262" s="418"/>
      <c r="J262" s="418"/>
      <c r="K262" s="418"/>
      <c r="L262" s="418"/>
      <c r="M262" s="418"/>
      <c r="N262" s="418"/>
      <c r="O262" s="418"/>
      <c r="P262" s="418"/>
      <c r="Q262" s="418"/>
      <c r="R262" s="418"/>
      <c r="S262" s="418"/>
      <c r="T262" s="418"/>
      <c r="U262" s="40"/>
      <c r="V262" s="219"/>
      <c r="W262" s="220"/>
      <c r="X262" s="219"/>
    </row>
    <row r="263" spans="1:23" ht="17.25" customHeight="1">
      <c r="A263" s="307" t="s">
        <v>372</v>
      </c>
      <c r="B263" s="325" t="s">
        <v>151</v>
      </c>
      <c r="C263" s="41"/>
      <c r="D263" s="40"/>
      <c r="E263" s="298" t="s">
        <v>422</v>
      </c>
      <c r="F263" s="298"/>
      <c r="G263" s="40"/>
      <c r="H263" s="298" t="s">
        <v>436</v>
      </c>
      <c r="I263" s="298"/>
      <c r="J263" s="298"/>
      <c r="K263" s="298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W263" s="6"/>
    </row>
    <row r="264" spans="1:23" ht="15.75" customHeight="1">
      <c r="A264" s="295"/>
      <c r="B264" s="325" t="s">
        <v>152</v>
      </c>
      <c r="C264" s="41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W264" s="6"/>
    </row>
    <row r="265" spans="1:23" ht="18" customHeight="1">
      <c r="A265" s="295"/>
      <c r="B265" s="325" t="s">
        <v>473</v>
      </c>
      <c r="C265" s="295"/>
      <c r="D265" s="298"/>
      <c r="E265" s="298"/>
      <c r="F265" s="298"/>
      <c r="G265" s="298"/>
      <c r="H265" s="298"/>
      <c r="I265" s="298"/>
      <c r="J265" s="298"/>
      <c r="K265" s="298"/>
      <c r="L265" s="298"/>
      <c r="M265" s="298"/>
      <c r="N265" s="298"/>
      <c r="O265" s="298"/>
      <c r="P265" s="298"/>
      <c r="Q265" s="298"/>
      <c r="R265" s="298"/>
      <c r="S265" s="298"/>
      <c r="T265" s="298"/>
      <c r="U265" s="298"/>
      <c r="W265" s="6"/>
    </row>
    <row r="266" spans="1:23" ht="16.5" customHeight="1" thickBot="1">
      <c r="A266" s="295"/>
      <c r="B266" s="20" t="s">
        <v>433</v>
      </c>
      <c r="C266" s="316"/>
      <c r="D266" s="40"/>
      <c r="E266" s="298"/>
      <c r="F266" s="298"/>
      <c r="G266" s="298"/>
      <c r="H266" s="298"/>
      <c r="I266" s="298"/>
      <c r="J266" s="298"/>
      <c r="K266" s="298"/>
      <c r="L266" s="298"/>
      <c r="M266" s="298"/>
      <c r="N266" s="298"/>
      <c r="O266" s="298"/>
      <c r="P266" s="298"/>
      <c r="Q266" s="298"/>
      <c r="R266" s="298"/>
      <c r="S266" s="298"/>
      <c r="T266" s="298"/>
      <c r="U266" s="298"/>
      <c r="V266" s="78"/>
      <c r="W266" s="6"/>
    </row>
    <row r="267" spans="1:23" ht="21.75" customHeight="1" thickBot="1">
      <c r="A267" s="465" t="s">
        <v>411</v>
      </c>
      <c r="B267" s="467" t="s">
        <v>11</v>
      </c>
      <c r="C267" s="100" t="s">
        <v>12</v>
      </c>
      <c r="D267" s="469" t="s">
        <v>15</v>
      </c>
      <c r="E267" s="470"/>
      <c r="F267" s="471"/>
      <c r="G267" s="101" t="s">
        <v>16</v>
      </c>
      <c r="H267" s="469" t="s">
        <v>389</v>
      </c>
      <c r="I267" s="472"/>
      <c r="J267" s="472"/>
      <c r="K267" s="472"/>
      <c r="L267" s="472"/>
      <c r="M267" s="472"/>
      <c r="N267" s="472"/>
      <c r="O267" s="473"/>
      <c r="P267" s="469" t="s">
        <v>382</v>
      </c>
      <c r="Q267" s="470"/>
      <c r="R267" s="472"/>
      <c r="S267" s="472"/>
      <c r="T267" s="473"/>
      <c r="U267" s="360"/>
      <c r="W267" s="6"/>
    </row>
    <row r="268" spans="1:23" ht="29.25" customHeight="1" thickBot="1">
      <c r="A268" s="466"/>
      <c r="B268" s="468"/>
      <c r="C268" s="350" t="s">
        <v>17</v>
      </c>
      <c r="D268" s="103" t="s">
        <v>18</v>
      </c>
      <c r="E268" s="103" t="s">
        <v>19</v>
      </c>
      <c r="F268" s="103" t="s">
        <v>20</v>
      </c>
      <c r="G268" s="369" t="s">
        <v>21</v>
      </c>
      <c r="H268" s="367" t="s">
        <v>416</v>
      </c>
      <c r="I268" s="367" t="s">
        <v>383</v>
      </c>
      <c r="J268" s="367" t="s">
        <v>384</v>
      </c>
      <c r="K268" s="367" t="s">
        <v>385</v>
      </c>
      <c r="L268" s="367" t="s">
        <v>386</v>
      </c>
      <c r="M268" s="367" t="s">
        <v>418</v>
      </c>
      <c r="N268" s="368" t="s">
        <v>419</v>
      </c>
      <c r="O268" s="368" t="s">
        <v>420</v>
      </c>
      <c r="P268" s="125" t="s">
        <v>387</v>
      </c>
      <c r="Q268" s="125" t="s">
        <v>414</v>
      </c>
      <c r="R268" s="125" t="s">
        <v>388</v>
      </c>
      <c r="S268" s="125" t="s">
        <v>417</v>
      </c>
      <c r="T268" s="98" t="s">
        <v>415</v>
      </c>
      <c r="U268" s="57"/>
      <c r="W268" s="6"/>
    </row>
    <row r="269" spans="1:23" ht="15.75" customHeight="1" thickBot="1">
      <c r="A269" s="299"/>
      <c r="B269" s="300" t="s">
        <v>22</v>
      </c>
      <c r="C269" s="301"/>
      <c r="D269" s="302"/>
      <c r="E269" s="302"/>
      <c r="F269" s="302"/>
      <c r="G269" s="302" t="s">
        <v>477</v>
      </c>
      <c r="H269" s="302"/>
      <c r="I269" s="302"/>
      <c r="J269" s="302"/>
      <c r="K269" s="302"/>
      <c r="L269" s="302"/>
      <c r="M269" s="302"/>
      <c r="N269" s="302"/>
      <c r="O269" s="302"/>
      <c r="P269" s="302"/>
      <c r="Q269" s="302"/>
      <c r="R269" s="302"/>
      <c r="S269" s="302"/>
      <c r="T269" s="303"/>
      <c r="U269" s="323"/>
      <c r="W269" s="6"/>
    </row>
    <row r="270" spans="1:23" ht="20.25" customHeight="1">
      <c r="A270" s="337" t="s">
        <v>401</v>
      </c>
      <c r="B270" s="320" t="s">
        <v>476</v>
      </c>
      <c r="C270" s="341">
        <v>60</v>
      </c>
      <c r="D270" s="130">
        <v>3.2</v>
      </c>
      <c r="E270" s="130">
        <v>4.8</v>
      </c>
      <c r="F270" s="130">
        <v>3.26</v>
      </c>
      <c r="G270" s="130">
        <v>63.41</v>
      </c>
      <c r="H270" s="130">
        <v>70</v>
      </c>
      <c r="I270" s="130">
        <v>13</v>
      </c>
      <c r="J270" s="130">
        <v>15</v>
      </c>
      <c r="K270" s="385">
        <v>140</v>
      </c>
      <c r="L270" s="130">
        <v>0.18</v>
      </c>
      <c r="M270" s="130">
        <v>1.7</v>
      </c>
      <c r="N270" s="130">
        <v>10.5</v>
      </c>
      <c r="O270" s="130">
        <v>61</v>
      </c>
      <c r="P270" s="130">
        <v>0.01</v>
      </c>
      <c r="Q270" s="130">
        <v>0.5</v>
      </c>
      <c r="R270" s="130">
        <v>8</v>
      </c>
      <c r="S270" s="131">
        <v>1150</v>
      </c>
      <c r="T270" s="130">
        <v>0</v>
      </c>
      <c r="U270" s="78"/>
      <c r="W270" s="6"/>
    </row>
    <row r="271" spans="1:23" ht="18" customHeight="1">
      <c r="A271" s="337" t="s">
        <v>374</v>
      </c>
      <c r="B271" s="291" t="s">
        <v>455</v>
      </c>
      <c r="C271" s="117">
        <v>200</v>
      </c>
      <c r="D271" s="106">
        <v>10.66</v>
      </c>
      <c r="E271" s="106">
        <v>10</v>
      </c>
      <c r="F271" s="106">
        <v>46.9</v>
      </c>
      <c r="G271" s="118">
        <v>363</v>
      </c>
      <c r="H271" s="118">
        <v>510.4</v>
      </c>
      <c r="I271" s="106">
        <v>244</v>
      </c>
      <c r="J271" s="106">
        <v>46.7</v>
      </c>
      <c r="K271" s="106">
        <v>26</v>
      </c>
      <c r="L271" s="106">
        <v>0.01</v>
      </c>
      <c r="M271" s="106">
        <v>5.83</v>
      </c>
      <c r="N271" s="106">
        <v>12.12</v>
      </c>
      <c r="O271" s="106">
        <v>67.4</v>
      </c>
      <c r="P271" s="106">
        <v>2.7</v>
      </c>
      <c r="Q271" s="106">
        <v>0.09</v>
      </c>
      <c r="R271" s="106">
        <v>0.01</v>
      </c>
      <c r="S271" s="106">
        <v>14.7</v>
      </c>
      <c r="T271" s="106">
        <v>0.3</v>
      </c>
      <c r="U271" s="306"/>
      <c r="W271" s="6"/>
    </row>
    <row r="272" spans="1:23" ht="19.5" customHeight="1">
      <c r="A272" s="351" t="s">
        <v>406</v>
      </c>
      <c r="B272" s="294" t="s">
        <v>371</v>
      </c>
      <c r="C272" s="159">
        <v>25</v>
      </c>
      <c r="D272" s="106">
        <v>1.98</v>
      </c>
      <c r="E272" s="106">
        <v>0.2</v>
      </c>
      <c r="F272" s="106">
        <v>12.2</v>
      </c>
      <c r="G272" s="106">
        <v>58.5</v>
      </c>
      <c r="H272" s="106">
        <v>23.3</v>
      </c>
      <c r="I272" s="106">
        <v>10</v>
      </c>
      <c r="J272" s="106">
        <v>5</v>
      </c>
      <c r="K272" s="106">
        <v>5</v>
      </c>
      <c r="L272" s="106">
        <v>0.28</v>
      </c>
      <c r="M272" s="106">
        <v>0.8</v>
      </c>
      <c r="N272" s="106">
        <v>1.5</v>
      </c>
      <c r="O272" s="106">
        <v>3.63</v>
      </c>
      <c r="P272" s="106">
        <v>5</v>
      </c>
      <c r="Q272" s="106">
        <v>0.008</v>
      </c>
      <c r="R272" s="106">
        <v>1</v>
      </c>
      <c r="S272" s="106">
        <v>0</v>
      </c>
      <c r="T272" s="106">
        <v>0.55</v>
      </c>
      <c r="U272" s="314"/>
      <c r="W272" s="6"/>
    </row>
    <row r="273" spans="1:23" ht="19.5" customHeight="1">
      <c r="A273" s="351" t="s">
        <v>308</v>
      </c>
      <c r="B273" s="291" t="s">
        <v>469</v>
      </c>
      <c r="C273" s="119">
        <v>200</v>
      </c>
      <c r="D273" s="106">
        <v>4.08</v>
      </c>
      <c r="E273" s="106">
        <v>4.32</v>
      </c>
      <c r="F273" s="106">
        <v>22.4</v>
      </c>
      <c r="G273" s="118">
        <v>115</v>
      </c>
      <c r="H273" s="118">
        <v>62</v>
      </c>
      <c r="I273" s="106">
        <v>60</v>
      </c>
      <c r="J273" s="106">
        <v>60</v>
      </c>
      <c r="K273" s="373">
        <v>47</v>
      </c>
      <c r="L273" s="106">
        <v>53.7</v>
      </c>
      <c r="M273" s="106">
        <v>0</v>
      </c>
      <c r="N273" s="106">
        <v>0</v>
      </c>
      <c r="O273" s="106">
        <v>0</v>
      </c>
      <c r="P273" s="106">
        <v>0.02</v>
      </c>
      <c r="Q273" s="106">
        <v>0.08</v>
      </c>
      <c r="R273" s="106">
        <v>10</v>
      </c>
      <c r="S273" s="106">
        <v>0.01</v>
      </c>
      <c r="T273" s="106">
        <v>0</v>
      </c>
      <c r="U273" s="306"/>
      <c r="V273" s="78"/>
      <c r="W273" s="6"/>
    </row>
    <row r="274" spans="1:23" ht="32.25" customHeight="1" thickBot="1">
      <c r="A274" s="464" t="s">
        <v>408</v>
      </c>
      <c r="B274" s="311" t="s">
        <v>421</v>
      </c>
      <c r="C274" s="386">
        <v>100</v>
      </c>
      <c r="D274" s="358">
        <v>0.4</v>
      </c>
      <c r="E274" s="358">
        <v>0.2</v>
      </c>
      <c r="F274" s="358">
        <v>7.5</v>
      </c>
      <c r="G274" s="358">
        <v>38</v>
      </c>
      <c r="H274" s="358">
        <v>556</v>
      </c>
      <c r="I274" s="358">
        <v>85</v>
      </c>
      <c r="J274" s="358">
        <v>32.5</v>
      </c>
      <c r="K274" s="358">
        <v>57.5</v>
      </c>
      <c r="L274" s="358">
        <v>0.01</v>
      </c>
      <c r="M274" s="358">
        <v>4</v>
      </c>
      <c r="N274" s="358">
        <v>0.6</v>
      </c>
      <c r="O274" s="358">
        <v>16</v>
      </c>
      <c r="P274" s="358">
        <v>0.5</v>
      </c>
      <c r="Q274" s="358">
        <v>0.05</v>
      </c>
      <c r="R274" s="358">
        <v>20</v>
      </c>
      <c r="S274" s="358">
        <v>10</v>
      </c>
      <c r="T274" s="358">
        <v>0</v>
      </c>
      <c r="U274" s="314"/>
      <c r="V274" s="78"/>
      <c r="W274" s="6"/>
    </row>
    <row r="275" spans="1:23" ht="19.5" customHeight="1" thickBot="1">
      <c r="A275" s="304"/>
      <c r="B275" s="328" t="s">
        <v>354</v>
      </c>
      <c r="C275" s="370">
        <f>SUM(C270:C274)</f>
        <v>585</v>
      </c>
      <c r="D275" s="335">
        <f aca="true" t="shared" si="14" ref="D275:T275">SUM(D270:D274)</f>
        <v>20.32</v>
      </c>
      <c r="E275" s="335">
        <f t="shared" si="14"/>
        <v>19.52</v>
      </c>
      <c r="F275" s="335">
        <f t="shared" si="14"/>
        <v>92.25999999999999</v>
      </c>
      <c r="G275" s="335">
        <f t="shared" si="14"/>
        <v>637.91</v>
      </c>
      <c r="H275" s="370">
        <f t="shared" si="14"/>
        <v>1221.6999999999998</v>
      </c>
      <c r="I275" s="335">
        <f t="shared" si="14"/>
        <v>412</v>
      </c>
      <c r="J275" s="335">
        <f t="shared" si="14"/>
        <v>159.2</v>
      </c>
      <c r="K275" s="335">
        <f t="shared" si="14"/>
        <v>275.5</v>
      </c>
      <c r="L275" s="335">
        <f t="shared" si="14"/>
        <v>54.18</v>
      </c>
      <c r="M275" s="335">
        <f t="shared" si="14"/>
        <v>12.33</v>
      </c>
      <c r="N275" s="335">
        <f t="shared" si="14"/>
        <v>24.72</v>
      </c>
      <c r="O275" s="370">
        <f t="shared" si="14"/>
        <v>148.03</v>
      </c>
      <c r="P275" s="335">
        <f t="shared" si="14"/>
        <v>8.23</v>
      </c>
      <c r="Q275" s="335">
        <f t="shared" si="14"/>
        <v>0.728</v>
      </c>
      <c r="R275" s="335">
        <f t="shared" si="14"/>
        <v>39.01</v>
      </c>
      <c r="S275" s="370">
        <f t="shared" si="14"/>
        <v>1174.71</v>
      </c>
      <c r="T275" s="335">
        <f t="shared" si="14"/>
        <v>0.8500000000000001</v>
      </c>
      <c r="U275" s="310"/>
      <c r="V275" s="78"/>
      <c r="W275" s="6"/>
    </row>
    <row r="276" spans="1:23" ht="21.75" customHeight="1" thickBot="1">
      <c r="A276" s="321"/>
      <c r="B276" s="397" t="s">
        <v>364</v>
      </c>
      <c r="C276" s="398">
        <f>C275+C247+C216+C190+C161+C133+C104+C76+C45+C21</f>
        <v>5862</v>
      </c>
      <c r="D276" s="399">
        <f>D275+D247+D216+D190+D161+D133+D104+D76+D45+D21</f>
        <v>214.01</v>
      </c>
      <c r="E276" s="399">
        <f>E275+E247+E216+E190+E161+E133+E104+E76+E45+E21</f>
        <v>219.6</v>
      </c>
      <c r="F276" s="399">
        <f>F275+F247+F216+F190+F161+F133+F104+F76+F45+F21</f>
        <v>870.6049999999999</v>
      </c>
      <c r="G276" s="399">
        <f>G275+G247+G216+G190+G161+G133+G104+G76+G45+G21</f>
        <v>6133.139999999999</v>
      </c>
      <c r="H276" s="398">
        <f>H275+H247+H216+H190+H161+H133+H104+H76+H45+H21</f>
        <v>7672.580000000001</v>
      </c>
      <c r="I276" s="398">
        <f>I275+I247+I216+I190+I161+I133+I104+I76+I45+I21</f>
        <v>3229.1299999999997</v>
      </c>
      <c r="J276" s="398">
        <f>J275+J247+J216+J190+J161+J133+J104+J76+J45+J21</f>
        <v>1739.6299999999999</v>
      </c>
      <c r="K276" s="398">
        <f>K275+K247+K216+K190+K161+K133+K104+K76+K45+K21</f>
        <v>2892.79</v>
      </c>
      <c r="L276" s="399">
        <f>L275+L247+L216+L190+L161+L133+L104+L76+L45+L21</f>
        <v>93.58</v>
      </c>
      <c r="M276" s="399">
        <f>M275+M247+M216+M190+M161+M133+M104+M76+M45+M21</f>
        <v>200.95999999999998</v>
      </c>
      <c r="N276" s="398">
        <f>N275+N247+N216+N190+N161+N133+N104+N76+N45+N21</f>
        <v>235.30999999999995</v>
      </c>
      <c r="O276" s="398">
        <f>O275+O247+O216+O190+O161+O133+O104+O76+O45+O21</f>
        <v>1438.3799999999999</v>
      </c>
      <c r="P276" s="399">
        <f>P275+P247+P216+P190+P161+P133+P104+P76+P45+P21</f>
        <v>16.1515</v>
      </c>
      <c r="Q276" s="399">
        <f>Q275+Q247+Q216+Q190+Q161+Q133+Q104+Q76+Q45+Q21</f>
        <v>5.146</v>
      </c>
      <c r="R276" s="399">
        <f>R275+R247+R216+R190+R161+R133+R104+R76+R45+R21</f>
        <v>395.06</v>
      </c>
      <c r="S276" s="398">
        <f>S275+S247+S216+S190+S161+S133+S104+S76+S45+S21</f>
        <v>2512.8100000000004</v>
      </c>
      <c r="T276" s="399">
        <f>T275+T247+T216+T190+T161+T133+T104+T76+T45+T21</f>
        <v>12.95</v>
      </c>
      <c r="U276" s="364"/>
      <c r="W276" s="6"/>
    </row>
    <row r="277" spans="1:23" ht="17.25" customHeight="1" thickBot="1">
      <c r="A277" s="311"/>
      <c r="B277" s="400" t="s">
        <v>228</v>
      </c>
      <c r="C277" s="401">
        <f>C276/10</f>
        <v>586.2</v>
      </c>
      <c r="D277" s="401">
        <f aca="true" t="shared" si="15" ref="D277:T277">D276/10</f>
        <v>21.401</v>
      </c>
      <c r="E277" s="401">
        <f t="shared" si="15"/>
        <v>21.96</v>
      </c>
      <c r="F277" s="401">
        <f t="shared" si="15"/>
        <v>87.06049999999999</v>
      </c>
      <c r="G277" s="401">
        <f t="shared" si="15"/>
        <v>613.314</v>
      </c>
      <c r="H277" s="401">
        <f t="shared" si="15"/>
        <v>767.258</v>
      </c>
      <c r="I277" s="401">
        <f t="shared" si="15"/>
        <v>322.91299999999995</v>
      </c>
      <c r="J277" s="401">
        <f t="shared" si="15"/>
        <v>173.963</v>
      </c>
      <c r="K277" s="401">
        <f t="shared" si="15"/>
        <v>289.279</v>
      </c>
      <c r="L277" s="401">
        <f t="shared" si="15"/>
        <v>9.358</v>
      </c>
      <c r="M277" s="401">
        <f t="shared" si="15"/>
        <v>20.095999999999997</v>
      </c>
      <c r="N277" s="401">
        <f t="shared" si="15"/>
        <v>23.530999999999995</v>
      </c>
      <c r="O277" s="401">
        <f t="shared" si="15"/>
        <v>143.838</v>
      </c>
      <c r="P277" s="401">
        <f t="shared" si="15"/>
        <v>1.6151499999999999</v>
      </c>
      <c r="Q277" s="401">
        <f t="shared" si="15"/>
        <v>0.5146</v>
      </c>
      <c r="R277" s="401">
        <f t="shared" si="15"/>
        <v>39.506</v>
      </c>
      <c r="S277" s="401">
        <f t="shared" si="15"/>
        <v>251.28100000000003</v>
      </c>
      <c r="T277" s="401">
        <f t="shared" si="15"/>
        <v>1.295</v>
      </c>
      <c r="U277" s="57"/>
      <c r="V277" s="78"/>
      <c r="W277" s="6"/>
    </row>
    <row r="278" spans="1:23" ht="24" customHeight="1" thickBot="1">
      <c r="A278" s="305"/>
      <c r="B278" s="421"/>
      <c r="C278" s="422"/>
      <c r="D278" s="422"/>
      <c r="E278" s="298" t="s">
        <v>423</v>
      </c>
      <c r="F278" s="298"/>
      <c r="G278" s="422"/>
      <c r="H278" s="422"/>
      <c r="I278" s="422"/>
      <c r="J278" s="422"/>
      <c r="K278" s="422"/>
      <c r="L278" s="422"/>
      <c r="M278" s="422"/>
      <c r="N278" s="422"/>
      <c r="O278" s="422"/>
      <c r="P278" s="422"/>
      <c r="Q278" s="422"/>
      <c r="R278" s="422"/>
      <c r="S278" s="422"/>
      <c r="T278" s="422"/>
      <c r="U278" s="57"/>
      <c r="V278" s="78"/>
      <c r="W278" s="6"/>
    </row>
    <row r="279" spans="1:23" ht="17.25" customHeight="1" thickBot="1">
      <c r="A279" s="465" t="s">
        <v>411</v>
      </c>
      <c r="B279" s="467" t="s">
        <v>11</v>
      </c>
      <c r="C279" s="100" t="s">
        <v>12</v>
      </c>
      <c r="D279" s="469" t="s">
        <v>15</v>
      </c>
      <c r="E279" s="470"/>
      <c r="F279" s="471"/>
      <c r="G279" s="101" t="s">
        <v>16</v>
      </c>
      <c r="H279" s="469" t="s">
        <v>389</v>
      </c>
      <c r="I279" s="472"/>
      <c r="J279" s="472"/>
      <c r="K279" s="472"/>
      <c r="L279" s="472"/>
      <c r="M279" s="472"/>
      <c r="N279" s="472"/>
      <c r="O279" s="473"/>
      <c r="P279" s="469" t="s">
        <v>382</v>
      </c>
      <c r="Q279" s="470"/>
      <c r="R279" s="472"/>
      <c r="S279" s="472"/>
      <c r="T279" s="473"/>
      <c r="U279" s="57"/>
      <c r="V279" s="78"/>
      <c r="W279" s="6"/>
    </row>
    <row r="280" spans="1:23" ht="36" customHeight="1" thickBot="1">
      <c r="A280" s="466"/>
      <c r="B280" s="468"/>
      <c r="C280" s="350" t="s">
        <v>17</v>
      </c>
      <c r="D280" s="103" t="s">
        <v>18</v>
      </c>
      <c r="E280" s="103" t="s">
        <v>19</v>
      </c>
      <c r="F280" s="103" t="s">
        <v>20</v>
      </c>
      <c r="G280" s="369" t="s">
        <v>21</v>
      </c>
      <c r="H280" s="367" t="s">
        <v>416</v>
      </c>
      <c r="I280" s="367" t="s">
        <v>383</v>
      </c>
      <c r="J280" s="367" t="s">
        <v>384</v>
      </c>
      <c r="K280" s="367" t="s">
        <v>385</v>
      </c>
      <c r="L280" s="367" t="s">
        <v>386</v>
      </c>
      <c r="M280" s="367" t="s">
        <v>418</v>
      </c>
      <c r="N280" s="368" t="s">
        <v>419</v>
      </c>
      <c r="O280" s="368" t="s">
        <v>420</v>
      </c>
      <c r="P280" s="125" t="s">
        <v>387</v>
      </c>
      <c r="Q280" s="125" t="s">
        <v>414</v>
      </c>
      <c r="R280" s="125" t="s">
        <v>388</v>
      </c>
      <c r="S280" s="125" t="s">
        <v>417</v>
      </c>
      <c r="T280" s="98" t="s">
        <v>415</v>
      </c>
      <c r="U280" s="57"/>
      <c r="V280" s="78"/>
      <c r="W280" s="6"/>
    </row>
    <row r="281" spans="1:23" ht="17.25" customHeight="1" thickBot="1">
      <c r="A281" s="299"/>
      <c r="B281" s="300" t="s">
        <v>22</v>
      </c>
      <c r="C281" s="301"/>
      <c r="D281" s="302"/>
      <c r="E281" s="302"/>
      <c r="F281" s="302"/>
      <c r="G281" s="302"/>
      <c r="H281" s="302"/>
      <c r="I281" s="302"/>
      <c r="J281" s="302"/>
      <c r="K281" s="302"/>
      <c r="L281" s="302"/>
      <c r="M281" s="302"/>
      <c r="N281" s="302"/>
      <c r="O281" s="302"/>
      <c r="P281" s="302"/>
      <c r="Q281" s="302"/>
      <c r="R281" s="302"/>
      <c r="S281" s="302"/>
      <c r="T281" s="303"/>
      <c r="U281" s="57"/>
      <c r="V281" s="78"/>
      <c r="W281" s="6"/>
    </row>
    <row r="282" spans="1:23" ht="37.5" customHeight="1">
      <c r="A282" s="352" t="s">
        <v>478</v>
      </c>
      <c r="B282" s="452" t="s">
        <v>23</v>
      </c>
      <c r="C282" s="341">
        <v>60</v>
      </c>
      <c r="D282" s="130">
        <v>0</v>
      </c>
      <c r="E282" s="130">
        <v>0</v>
      </c>
      <c r="F282" s="130">
        <v>3.6</v>
      </c>
      <c r="G282" s="130">
        <v>16</v>
      </c>
      <c r="H282" s="130">
        <v>70.2</v>
      </c>
      <c r="I282" s="130">
        <v>6.9</v>
      </c>
      <c r="J282" s="130">
        <v>7.2</v>
      </c>
      <c r="K282" s="130">
        <v>4.2</v>
      </c>
      <c r="L282" s="130">
        <v>0.18</v>
      </c>
      <c r="M282" s="130">
        <v>0</v>
      </c>
      <c r="N282" s="130">
        <v>0</v>
      </c>
      <c r="O282" s="130">
        <v>0</v>
      </c>
      <c r="P282" s="130">
        <v>0.01</v>
      </c>
      <c r="Q282" s="130">
        <v>0.01</v>
      </c>
      <c r="R282" s="130">
        <v>1.5</v>
      </c>
      <c r="S282" s="130">
        <v>0</v>
      </c>
      <c r="T282" s="130">
        <v>0</v>
      </c>
      <c r="U282" s="57"/>
      <c r="V282" s="78"/>
      <c r="W282" s="6"/>
    </row>
    <row r="283" spans="1:23" ht="36.75" customHeight="1">
      <c r="A283" s="381" t="s">
        <v>456</v>
      </c>
      <c r="B283" s="292" t="s">
        <v>457</v>
      </c>
      <c r="C283" s="105">
        <v>100</v>
      </c>
      <c r="D283" s="118">
        <v>13</v>
      </c>
      <c r="E283" s="106">
        <v>12</v>
      </c>
      <c r="F283" s="106">
        <v>29</v>
      </c>
      <c r="G283" s="106">
        <v>189</v>
      </c>
      <c r="H283" s="106">
        <v>158</v>
      </c>
      <c r="I283" s="106">
        <v>20.5</v>
      </c>
      <c r="J283" s="373">
        <v>5.05</v>
      </c>
      <c r="K283" s="106">
        <v>25.6</v>
      </c>
      <c r="L283" s="106">
        <v>0.24</v>
      </c>
      <c r="M283" s="106">
        <v>5</v>
      </c>
      <c r="N283" s="106">
        <v>20</v>
      </c>
      <c r="O283" s="373">
        <v>114</v>
      </c>
      <c r="P283" s="106">
        <v>0.08</v>
      </c>
      <c r="Q283" s="106">
        <v>0.19</v>
      </c>
      <c r="R283" s="106">
        <v>2.66</v>
      </c>
      <c r="S283" s="106">
        <v>43</v>
      </c>
      <c r="T283" s="106">
        <v>0.03</v>
      </c>
      <c r="U283" s="57"/>
      <c r="V283" s="78"/>
      <c r="W283" s="6"/>
    </row>
    <row r="284" spans="1:23" ht="17.25" customHeight="1">
      <c r="A284" s="382" t="s">
        <v>458</v>
      </c>
      <c r="B284" s="116" t="s">
        <v>459</v>
      </c>
      <c r="C284" s="117">
        <v>180</v>
      </c>
      <c r="D284" s="106">
        <v>4.5</v>
      </c>
      <c r="E284" s="106">
        <v>7.5</v>
      </c>
      <c r="F284" s="106">
        <v>26</v>
      </c>
      <c r="G284" s="118">
        <v>274</v>
      </c>
      <c r="H284" s="118">
        <v>242</v>
      </c>
      <c r="I284" s="106">
        <v>10</v>
      </c>
      <c r="J284" s="106">
        <v>31</v>
      </c>
      <c r="K284" s="106">
        <v>84</v>
      </c>
      <c r="L284" s="106">
        <v>0.6</v>
      </c>
      <c r="M284" s="106">
        <v>5.28</v>
      </c>
      <c r="N284" s="106">
        <v>20</v>
      </c>
      <c r="O284" s="373">
        <v>114</v>
      </c>
      <c r="P284" s="106">
        <v>0.06</v>
      </c>
      <c r="Q284" s="106">
        <v>0.056</v>
      </c>
      <c r="R284" s="106">
        <v>2.52</v>
      </c>
      <c r="S284" s="106">
        <v>0</v>
      </c>
      <c r="T284" s="106">
        <v>0</v>
      </c>
      <c r="U284" s="57"/>
      <c r="V284" s="78"/>
      <c r="W284" s="6"/>
    </row>
    <row r="285" spans="1:23" ht="17.25" customHeight="1">
      <c r="A285" s="351" t="s">
        <v>406</v>
      </c>
      <c r="B285" s="273" t="s">
        <v>371</v>
      </c>
      <c r="C285" s="159">
        <v>25</v>
      </c>
      <c r="D285" s="106">
        <v>1.98</v>
      </c>
      <c r="E285" s="106">
        <v>0.2</v>
      </c>
      <c r="F285" s="106">
        <v>12.2</v>
      </c>
      <c r="G285" s="106">
        <v>58.5</v>
      </c>
      <c r="H285" s="106">
        <v>23.3</v>
      </c>
      <c r="I285" s="106">
        <v>10</v>
      </c>
      <c r="J285" s="106">
        <v>5</v>
      </c>
      <c r="K285" s="106">
        <v>5</v>
      </c>
      <c r="L285" s="106">
        <v>0.28</v>
      </c>
      <c r="M285" s="106">
        <v>0.8</v>
      </c>
      <c r="N285" s="106">
        <v>1.5</v>
      </c>
      <c r="O285" s="106">
        <v>3.63</v>
      </c>
      <c r="P285" s="106">
        <v>5</v>
      </c>
      <c r="Q285" s="106">
        <v>0.008</v>
      </c>
      <c r="R285" s="106">
        <v>1</v>
      </c>
      <c r="S285" s="106">
        <v>0</v>
      </c>
      <c r="T285" s="106">
        <v>0.55</v>
      </c>
      <c r="U285" s="57"/>
      <c r="V285" s="78"/>
      <c r="W285" s="6"/>
    </row>
    <row r="286" spans="1:23" ht="17.25" customHeight="1" thickBot="1">
      <c r="A286" s="164" t="s">
        <v>343</v>
      </c>
      <c r="B286" s="308" t="s">
        <v>366</v>
      </c>
      <c r="C286" s="119">
        <v>200</v>
      </c>
      <c r="D286" s="106">
        <v>1.5</v>
      </c>
      <c r="E286" s="106">
        <v>1.3</v>
      </c>
      <c r="F286" s="106">
        <v>22.4</v>
      </c>
      <c r="G286" s="118">
        <v>107</v>
      </c>
      <c r="H286" s="118">
        <v>168</v>
      </c>
      <c r="I286" s="106">
        <v>161</v>
      </c>
      <c r="J286" s="106">
        <v>7</v>
      </c>
      <c r="K286" s="373">
        <v>145</v>
      </c>
      <c r="L286" s="106">
        <v>1</v>
      </c>
      <c r="M286" s="106">
        <v>9</v>
      </c>
      <c r="N286" s="106">
        <v>2</v>
      </c>
      <c r="O286" s="106">
        <v>20</v>
      </c>
      <c r="P286" s="106">
        <v>0.02</v>
      </c>
      <c r="Q286" s="106">
        <v>0.15</v>
      </c>
      <c r="R286" s="106">
        <v>1</v>
      </c>
      <c r="S286" s="106">
        <v>23.8</v>
      </c>
      <c r="T286" s="106">
        <v>0</v>
      </c>
      <c r="U286" s="57"/>
      <c r="V286" s="78"/>
      <c r="W286" s="6"/>
    </row>
    <row r="287" spans="1:23" ht="17.25" customHeight="1" thickBot="1">
      <c r="A287" s="329"/>
      <c r="B287" s="433" t="s">
        <v>354</v>
      </c>
      <c r="C287" s="370">
        <f>SUM(C282:C286)</f>
        <v>565</v>
      </c>
      <c r="D287" s="335">
        <f aca="true" t="shared" si="16" ref="D287:T287">SUM(D282:D286)</f>
        <v>20.98</v>
      </c>
      <c r="E287" s="335">
        <f t="shared" si="16"/>
        <v>21</v>
      </c>
      <c r="F287" s="335">
        <f t="shared" si="16"/>
        <v>93.19999999999999</v>
      </c>
      <c r="G287" s="335">
        <f t="shared" si="16"/>
        <v>644.5</v>
      </c>
      <c r="H287" s="335">
        <f t="shared" si="16"/>
        <v>661.5</v>
      </c>
      <c r="I287" s="335">
        <f t="shared" si="16"/>
        <v>208.4</v>
      </c>
      <c r="J287" s="335">
        <f t="shared" si="16"/>
        <v>55.25</v>
      </c>
      <c r="K287" s="335">
        <f t="shared" si="16"/>
        <v>263.8</v>
      </c>
      <c r="L287" s="335">
        <f t="shared" si="16"/>
        <v>2.3</v>
      </c>
      <c r="M287" s="335">
        <f t="shared" si="16"/>
        <v>20.080000000000002</v>
      </c>
      <c r="N287" s="335">
        <f t="shared" si="16"/>
        <v>43.5</v>
      </c>
      <c r="O287" s="370">
        <f t="shared" si="16"/>
        <v>251.63</v>
      </c>
      <c r="P287" s="335">
        <f t="shared" si="16"/>
        <v>5.17</v>
      </c>
      <c r="Q287" s="335">
        <f t="shared" si="16"/>
        <v>0.41400000000000003</v>
      </c>
      <c r="R287" s="335">
        <f t="shared" si="16"/>
        <v>8.68</v>
      </c>
      <c r="S287" s="370">
        <f t="shared" si="16"/>
        <v>66.8</v>
      </c>
      <c r="T287" s="449">
        <f t="shared" si="16"/>
        <v>0.5800000000000001</v>
      </c>
      <c r="U287" s="57"/>
      <c r="V287" s="78"/>
      <c r="W287" s="6"/>
    </row>
    <row r="288" spans="1:23" ht="17.25" customHeight="1" thickBot="1">
      <c r="A288" s="321"/>
      <c r="B288" s="397" t="s">
        <v>364</v>
      </c>
      <c r="C288" s="398">
        <f>C287+C258+C226+C200+C170+C144+C116+C86+C56+C30</f>
        <v>5792</v>
      </c>
      <c r="D288" s="399">
        <f>D287+D258+D226+D200+D170+D144+D116+D86+D56+D30</f>
        <v>212.76</v>
      </c>
      <c r="E288" s="399">
        <f>E287+E258+E226+E200+E170+E144+E116+E86+E56+E30</f>
        <v>215.05</v>
      </c>
      <c r="F288" s="399">
        <f>F287+F258+F226+F200+F170+F144+F116+F86+F56+F30</f>
        <v>855.5300000000001</v>
      </c>
      <c r="G288" s="399">
        <f>G287+G258+G226+G200+G170+G144+G116+G86+G56+G30</f>
        <v>6283.4</v>
      </c>
      <c r="H288" s="399">
        <f>H287+H258+H226+H200+H170+H144+H116+H86+H56+H30</f>
        <v>7031.92</v>
      </c>
      <c r="I288" s="399">
        <f>I287+I258+I226+I200+I170+I144+I116+I86+I56+I30</f>
        <v>3015.2000000000003</v>
      </c>
      <c r="J288" s="398">
        <f>J287+J258+J226+J200+J170+J144+J116+J86+J56+J30</f>
        <v>1370.72</v>
      </c>
      <c r="K288" s="398">
        <f>K287+K258+K226+K200+K170+K144+K116+K86+K56+K30</f>
        <v>3516</v>
      </c>
      <c r="L288" s="399">
        <f>L287+L258+L226+L200+L170+L144+L116+L86+L56+L30</f>
        <v>55.19</v>
      </c>
      <c r="M288" s="399">
        <f>M287+M258+M226+M200+M170+M144+M116+M86+M56+M30</f>
        <v>183.04</v>
      </c>
      <c r="N288" s="399">
        <f>N287+N258+N226+N200+N170+N144+N116+N86+N56+N30</f>
        <v>267.17</v>
      </c>
      <c r="O288" s="398">
        <f>O287+O258+O226+O200+O170+O144+O116+O86+O56+O30</f>
        <v>1864.8400000000001</v>
      </c>
      <c r="P288" s="399">
        <f>P287+P258+P226+P200+P170+P144+P116+P86+P56+P30</f>
        <v>13.744999999999997</v>
      </c>
      <c r="Q288" s="399">
        <f>Q287+Q258+Q226+Q200+Q170+Q144+Q116+Q86+Q56+Q30</f>
        <v>7.409</v>
      </c>
      <c r="R288" s="399">
        <f>R287+R258+R226+R200+R170+R144+R116+R86+R56+R30</f>
        <v>392.76</v>
      </c>
      <c r="S288" s="398">
        <f>S287+S258+S226+S200+S170+S144+S116+S86+S56+S30</f>
        <v>1245.34</v>
      </c>
      <c r="T288" s="450">
        <f>T287+T258+T226+T200+T170+T144+T116+T86+T56+T30</f>
        <v>91.16000000000001</v>
      </c>
      <c r="U288" s="57"/>
      <c r="V288" s="78"/>
      <c r="W288" s="6"/>
    </row>
    <row r="289" spans="1:23" ht="17.25" customHeight="1" thickBot="1">
      <c r="A289" s="311"/>
      <c r="B289" s="400" t="s">
        <v>228</v>
      </c>
      <c r="C289" s="448">
        <f>C288/10</f>
        <v>579.2</v>
      </c>
      <c r="D289" s="402">
        <f aca="true" t="shared" si="17" ref="D289:T289">D288/10</f>
        <v>21.276</v>
      </c>
      <c r="E289" s="401">
        <f t="shared" si="17"/>
        <v>21.505000000000003</v>
      </c>
      <c r="F289" s="401">
        <f t="shared" si="17"/>
        <v>85.55300000000001</v>
      </c>
      <c r="G289" s="402">
        <f t="shared" si="17"/>
        <v>628.3399999999999</v>
      </c>
      <c r="H289" s="401">
        <f t="shared" si="17"/>
        <v>703.192</v>
      </c>
      <c r="I289" s="401">
        <f t="shared" si="17"/>
        <v>301.52000000000004</v>
      </c>
      <c r="J289" s="401">
        <f t="shared" si="17"/>
        <v>137.072</v>
      </c>
      <c r="K289" s="401">
        <f t="shared" si="17"/>
        <v>351.6</v>
      </c>
      <c r="L289" s="401">
        <f t="shared" si="17"/>
        <v>5.519</v>
      </c>
      <c r="M289" s="402">
        <f t="shared" si="17"/>
        <v>18.304</v>
      </c>
      <c r="N289" s="401">
        <f t="shared" si="17"/>
        <v>26.717000000000002</v>
      </c>
      <c r="O289" s="401">
        <f t="shared" si="17"/>
        <v>186.484</v>
      </c>
      <c r="P289" s="401">
        <f t="shared" si="17"/>
        <v>1.3744999999999998</v>
      </c>
      <c r="Q289" s="401">
        <f t="shared" si="17"/>
        <v>0.7409</v>
      </c>
      <c r="R289" s="401">
        <f t="shared" si="17"/>
        <v>39.275999999999996</v>
      </c>
      <c r="S289" s="401">
        <f t="shared" si="17"/>
        <v>124.53399999999999</v>
      </c>
      <c r="T289" s="401">
        <f t="shared" si="17"/>
        <v>9.116000000000001</v>
      </c>
      <c r="U289" s="57"/>
      <c r="V289" s="78"/>
      <c r="W289" s="6"/>
    </row>
    <row r="290" spans="1:23" ht="17.25" customHeight="1">
      <c r="A290" s="305"/>
      <c r="B290" s="421"/>
      <c r="C290" s="422"/>
      <c r="D290" s="422"/>
      <c r="E290" s="422"/>
      <c r="F290" s="422"/>
      <c r="G290" s="422"/>
      <c r="H290" s="422"/>
      <c r="I290" s="422"/>
      <c r="J290" s="422"/>
      <c r="K290" s="422"/>
      <c r="L290" s="422"/>
      <c r="M290" s="422"/>
      <c r="N290" s="422"/>
      <c r="O290" s="422"/>
      <c r="P290" s="422"/>
      <c r="Q290" s="422"/>
      <c r="R290" s="422"/>
      <c r="S290" s="422"/>
      <c r="T290" s="422"/>
      <c r="U290" s="57"/>
      <c r="V290" s="78"/>
      <c r="W290" s="6"/>
    </row>
    <row r="291" spans="1:23" ht="17.25" customHeight="1">
      <c r="A291" s="305"/>
      <c r="B291" s="421"/>
      <c r="C291" s="422"/>
      <c r="D291" s="422"/>
      <c r="E291" s="422"/>
      <c r="F291" s="422"/>
      <c r="G291" s="422"/>
      <c r="H291" s="422"/>
      <c r="I291" s="422"/>
      <c r="J291" s="422"/>
      <c r="K291" s="422"/>
      <c r="L291" s="422"/>
      <c r="M291" s="422"/>
      <c r="N291" s="422"/>
      <c r="O291" s="422"/>
      <c r="P291" s="422"/>
      <c r="Q291" s="422"/>
      <c r="R291" s="422"/>
      <c r="S291" s="422"/>
      <c r="T291" s="422"/>
      <c r="U291" s="57"/>
      <c r="V291" s="78"/>
      <c r="W291" s="6"/>
    </row>
    <row r="292" spans="1:23" ht="17.25" customHeight="1">
      <c r="A292" s="305"/>
      <c r="B292" s="421"/>
      <c r="C292" s="422"/>
      <c r="D292" s="422"/>
      <c r="E292" s="422"/>
      <c r="F292" s="422"/>
      <c r="G292" s="422"/>
      <c r="H292" s="422"/>
      <c r="I292" s="422"/>
      <c r="J292" s="422"/>
      <c r="K292" s="422"/>
      <c r="L292" s="422"/>
      <c r="M292" s="422"/>
      <c r="N292" s="422"/>
      <c r="O292" s="422"/>
      <c r="P292" s="422"/>
      <c r="Q292" s="422"/>
      <c r="R292" s="422"/>
      <c r="S292" s="422"/>
      <c r="T292" s="422"/>
      <c r="U292" s="57"/>
      <c r="V292" s="78"/>
      <c r="W292" s="6"/>
    </row>
    <row r="293" spans="1:23" ht="20.25" customHeight="1">
      <c r="A293" s="305"/>
      <c r="B293" s="4" t="s">
        <v>357</v>
      </c>
      <c r="C293" s="227"/>
      <c r="D293" s="60"/>
      <c r="E293" s="60"/>
      <c r="F293" s="39"/>
      <c r="G293" s="57"/>
      <c r="H293" s="60" t="s">
        <v>337</v>
      </c>
      <c r="I293" s="60"/>
      <c r="J293" s="39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78"/>
      <c r="W293" s="6"/>
    </row>
    <row r="294" spans="1:35" s="18" customFormat="1" ht="16.5" customHeight="1">
      <c r="A294" s="295"/>
      <c r="B294" s="295"/>
      <c r="C294" s="313"/>
      <c r="D294" s="298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6"/>
      <c r="V294" s="6"/>
      <c r="W294" s="25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s="18" customFormat="1" ht="16.5" customHeight="1">
      <c r="A295" s="295"/>
      <c r="B295" s="295"/>
      <c r="C295" s="313"/>
      <c r="D295" s="298"/>
      <c r="E295" s="297"/>
      <c r="F295" s="297"/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6"/>
      <c r="V295" s="6"/>
      <c r="W295" s="25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s="18" customFormat="1" ht="16.5" customHeight="1">
      <c r="A296" s="295"/>
      <c r="B296" s="295"/>
      <c r="C296" s="313"/>
      <c r="D296" s="314"/>
      <c r="E296" s="314"/>
      <c r="F296" s="314"/>
      <c r="G296" s="314"/>
      <c r="H296" s="314"/>
      <c r="I296" s="314"/>
      <c r="J296" s="314"/>
      <c r="K296" s="314"/>
      <c r="L296" s="314"/>
      <c r="M296" s="314"/>
      <c r="N296" s="314"/>
      <c r="O296" s="314"/>
      <c r="P296" s="314"/>
      <c r="Q296" s="314"/>
      <c r="R296" s="314"/>
      <c r="S296" s="314"/>
      <c r="T296" s="314"/>
      <c r="U296" s="296"/>
      <c r="V296" s="6"/>
      <c r="W296" s="25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2:35" s="18" customFormat="1" ht="16.5" customHeight="1">
      <c r="B297" s="6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6"/>
      <c r="V297" s="6"/>
      <c r="W297" s="25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2:35" s="18" customFormat="1" ht="16.5" customHeight="1">
      <c r="B298" s="6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6"/>
      <c r="V298" s="6"/>
      <c r="W298" s="25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2:35" s="18" customFormat="1" ht="16.5" customHeight="1">
      <c r="B299" s="6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6"/>
      <c r="V299" s="6"/>
      <c r="W299" s="25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2:35" s="18" customFormat="1" ht="16.5" customHeight="1">
      <c r="B300" s="6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6"/>
      <c r="V300" s="6"/>
      <c r="W300" s="25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2:35" s="18" customFormat="1" ht="16.5" customHeight="1">
      <c r="B301" s="6"/>
      <c r="C301" s="95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6"/>
      <c r="V301" s="6"/>
      <c r="W301" s="25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2:35" s="18" customFormat="1" ht="16.5" customHeight="1">
      <c r="B302" s="295"/>
      <c r="C302" s="313"/>
      <c r="D302" s="298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6"/>
      <c r="V302" s="6"/>
      <c r="W302" s="25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2:35" s="18" customFormat="1" ht="16.5" customHeight="1">
      <c r="B303" s="295"/>
      <c r="C303" s="313"/>
      <c r="D303" s="298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6"/>
      <c r="V303" s="6"/>
      <c r="W303" s="25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2:35" s="18" customFormat="1" ht="16.5" customHeight="1">
      <c r="B304" s="295"/>
      <c r="C304" s="313"/>
      <c r="D304" s="298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6"/>
      <c r="V304" s="6"/>
      <c r="W304" s="25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2:35" s="18" customFormat="1" ht="16.5" customHeight="1">
      <c r="B305" s="6"/>
      <c r="C305" s="95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6"/>
      <c r="V305" s="6"/>
      <c r="W305" s="25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2:35" s="18" customFormat="1" ht="16.5" customHeight="1">
      <c r="B306" s="6"/>
      <c r="C306" s="95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6"/>
      <c r="V306" s="6"/>
      <c r="W306" s="25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2:35" s="18" customFormat="1" ht="16.5" customHeight="1">
      <c r="B307" s="6"/>
      <c r="C307" s="95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6"/>
      <c r="V307" s="6"/>
      <c r="W307" s="25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2:35" s="18" customFormat="1" ht="16.5" customHeight="1">
      <c r="B308" s="6"/>
      <c r="C308" s="95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6"/>
      <c r="V308" s="6"/>
      <c r="W308" s="25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2:35" s="18" customFormat="1" ht="16.5" customHeight="1">
      <c r="B309" s="6"/>
      <c r="C309" s="95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6"/>
      <c r="V309" s="6"/>
      <c r="W309" s="25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2:35" s="18" customFormat="1" ht="16.5" customHeight="1">
      <c r="B310" s="295"/>
      <c r="C310" s="313"/>
      <c r="D310" s="298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6"/>
      <c r="V310" s="6"/>
      <c r="W310" s="25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2:35" s="18" customFormat="1" ht="16.5" customHeight="1">
      <c r="B311" s="295"/>
      <c r="C311" s="313"/>
      <c r="D311" s="298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6"/>
      <c r="V311" s="6"/>
      <c r="W311" s="25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2:35" s="18" customFormat="1" ht="16.5" customHeight="1">
      <c r="B312" s="295"/>
      <c r="C312" s="313"/>
      <c r="D312" s="298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6"/>
      <c r="V312" s="6"/>
      <c r="W312" s="25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2:35" s="18" customFormat="1" ht="16.5" customHeight="1">
      <c r="B313" s="6"/>
      <c r="C313" s="95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6"/>
      <c r="V313" s="6"/>
      <c r="W313" s="25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2:35" s="18" customFormat="1" ht="16.5" customHeight="1">
      <c r="B314" s="6"/>
      <c r="C314" s="95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6"/>
      <c r="V314" s="6"/>
      <c r="W314" s="25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2:35" s="18" customFormat="1" ht="16.5" customHeight="1">
      <c r="B315" s="6"/>
      <c r="C315" s="95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6"/>
      <c r="V315" s="6"/>
      <c r="W315" s="25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2:35" s="18" customFormat="1" ht="16.5" customHeight="1">
      <c r="B316" s="6"/>
      <c r="C316" s="95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6"/>
      <c r="V316" s="6"/>
      <c r="W316" s="25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2:35" s="18" customFormat="1" ht="16.5" customHeight="1">
      <c r="B317" s="6"/>
      <c r="C317" s="95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6"/>
      <c r="V317" s="6"/>
      <c r="W317" s="25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2:35" s="18" customFormat="1" ht="16.5" customHeight="1">
      <c r="B318" s="6"/>
      <c r="C318" s="95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6"/>
      <c r="V318" s="6"/>
      <c r="W318" s="25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2:35" s="18" customFormat="1" ht="16.5" customHeight="1">
      <c r="B319" s="6"/>
      <c r="C319" s="95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6"/>
      <c r="V319" s="6"/>
      <c r="W319" s="25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2:35" s="18" customFormat="1" ht="16.5" customHeight="1">
      <c r="B320" s="6"/>
      <c r="C320" s="95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6"/>
      <c r="V320" s="6"/>
      <c r="W320" s="25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2:35" s="18" customFormat="1" ht="16.5" customHeight="1">
      <c r="B321" s="6"/>
      <c r="C321" s="95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6"/>
      <c r="V321" s="6"/>
      <c r="W321" s="25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2:35" s="18" customFormat="1" ht="16.5" customHeight="1">
      <c r="B322" s="6"/>
      <c r="C322" s="95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6"/>
      <c r="V322" s="6"/>
      <c r="W322" s="25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2:35" s="18" customFormat="1" ht="16.5" customHeight="1">
      <c r="B323" s="6"/>
      <c r="C323" s="95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6"/>
      <c r="V323" s="6"/>
      <c r="W323" s="25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2:35" s="18" customFormat="1" ht="16.5" customHeight="1">
      <c r="B324" s="6"/>
      <c r="C324" s="95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6"/>
      <c r="V324" s="6"/>
      <c r="W324" s="25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2:35" s="18" customFormat="1" ht="16.5" customHeight="1">
      <c r="B325" s="6"/>
      <c r="C325" s="95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6"/>
      <c r="V325" s="6"/>
      <c r="W325" s="25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2:35" s="18" customFormat="1" ht="16.5" customHeight="1">
      <c r="B326" s="6"/>
      <c r="C326" s="95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6"/>
      <c r="V326" s="6"/>
      <c r="W326" s="25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2:35" s="18" customFormat="1" ht="16.5" customHeight="1">
      <c r="B327" s="6"/>
      <c r="C327" s="95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6"/>
      <c r="V327" s="6"/>
      <c r="W327" s="25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2:35" s="18" customFormat="1" ht="16.5" customHeight="1">
      <c r="B328" s="6"/>
      <c r="C328" s="95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6"/>
      <c r="V328" s="6"/>
      <c r="W328" s="25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2:35" s="18" customFormat="1" ht="16.5" customHeight="1">
      <c r="B329" s="6"/>
      <c r="C329" s="95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6"/>
      <c r="V329" s="6"/>
      <c r="W329" s="25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2:35" s="18" customFormat="1" ht="16.5" customHeight="1">
      <c r="B330" s="6"/>
      <c r="C330" s="95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6"/>
      <c r="V330" s="6"/>
      <c r="W330" s="25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 s="18" customFormat="1" ht="16.5" customHeight="1">
      <c r="B331" s="6"/>
      <c r="C331" s="95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6"/>
      <c r="V331" s="6"/>
      <c r="W331" s="25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 s="18" customFormat="1" ht="16.5" customHeight="1">
      <c r="B332" s="6"/>
      <c r="C332" s="95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6"/>
      <c r="V332" s="6"/>
      <c r="W332" s="25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 s="18" customFormat="1" ht="16.5" customHeight="1">
      <c r="B333" s="6"/>
      <c r="C333" s="95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6"/>
      <c r="V333" s="6"/>
      <c r="W333" s="25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 s="18" customFormat="1" ht="16.5" customHeight="1">
      <c r="B334" s="6"/>
      <c r="C334" s="95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6"/>
      <c r="V334" s="6"/>
      <c r="W334" s="25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 s="18" customFormat="1" ht="16.5" customHeight="1">
      <c r="B335" s="6"/>
      <c r="C335" s="95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6"/>
      <c r="V335" s="6"/>
      <c r="W335" s="25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 s="18" customFormat="1" ht="16.5" customHeight="1">
      <c r="B336" s="6"/>
      <c r="C336" s="95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6"/>
      <c r="V336" s="6"/>
      <c r="W336" s="25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 s="18" customFormat="1" ht="16.5" customHeight="1">
      <c r="B337" s="6"/>
      <c r="C337" s="95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6"/>
      <c r="V337" s="6"/>
      <c r="W337" s="25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 s="18" customFormat="1" ht="16.5" customHeight="1">
      <c r="B338" s="6"/>
      <c r="C338" s="95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6"/>
      <c r="V338" s="6"/>
      <c r="W338" s="25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 s="18" customFormat="1" ht="16.5" customHeight="1">
      <c r="B339" s="6"/>
      <c r="C339" s="95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6"/>
      <c r="V339" s="6"/>
      <c r="W339" s="25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s="18" customFormat="1" ht="16.5" customHeight="1">
      <c r="B340" s="6"/>
      <c r="C340" s="95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6"/>
      <c r="V340" s="6"/>
      <c r="W340" s="25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s="18" customFormat="1" ht="16.5" customHeight="1">
      <c r="B341" s="6"/>
      <c r="C341" s="95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6"/>
      <c r="V341" s="6"/>
      <c r="W341" s="25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s="18" customFormat="1" ht="16.5" customHeight="1">
      <c r="B342" s="6"/>
      <c r="C342" s="95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6"/>
      <c r="V342" s="6"/>
      <c r="W342" s="25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s="18" customFormat="1" ht="16.5" customHeight="1">
      <c r="B343" s="6"/>
      <c r="C343" s="95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6"/>
      <c r="V343" s="6"/>
      <c r="W343" s="25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s="18" customFormat="1" ht="16.5" customHeight="1">
      <c r="B344" s="6"/>
      <c r="C344" s="95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6"/>
      <c r="V344" s="6"/>
      <c r="W344" s="25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s="18" customFormat="1" ht="16.5" customHeight="1">
      <c r="B345" s="6"/>
      <c r="C345" s="95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6"/>
      <c r="V345" s="6"/>
      <c r="W345" s="25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s="18" customFormat="1" ht="16.5" customHeight="1">
      <c r="B346" s="6"/>
      <c r="C346" s="95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6"/>
      <c r="V346" s="6"/>
      <c r="W346" s="25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s="18" customFormat="1" ht="16.5" customHeight="1">
      <c r="B347" s="6"/>
      <c r="C347" s="95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6"/>
      <c r="V347" s="6"/>
      <c r="W347" s="25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s="18" customFormat="1" ht="16.5" customHeight="1">
      <c r="B348" s="6"/>
      <c r="C348" s="95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6"/>
      <c r="V348" s="6"/>
      <c r="W348" s="25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s="18" customFormat="1" ht="16.5" customHeight="1">
      <c r="B349" s="6"/>
      <c r="C349" s="95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6"/>
      <c r="V349" s="6"/>
      <c r="W349" s="25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s="18" customFormat="1" ht="16.5" customHeight="1">
      <c r="B350" s="6"/>
      <c r="C350" s="95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6"/>
      <c r="V350" s="6"/>
      <c r="W350" s="25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s="18" customFormat="1" ht="16.5" customHeight="1">
      <c r="B351" s="6"/>
      <c r="C351" s="95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6"/>
      <c r="V351" s="6"/>
      <c r="W351" s="25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s="18" customFormat="1" ht="16.5" customHeight="1">
      <c r="B352" s="6"/>
      <c r="C352" s="95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6"/>
      <c r="V352" s="6"/>
      <c r="W352" s="25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s="18" customFormat="1" ht="16.5" customHeight="1">
      <c r="B353" s="6"/>
      <c r="C353" s="95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6"/>
      <c r="V353" s="6"/>
      <c r="W353" s="25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s="18" customFormat="1" ht="16.5" customHeight="1">
      <c r="B354" s="6"/>
      <c r="C354" s="95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6"/>
      <c r="V354" s="6"/>
      <c r="W354" s="25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s="18" customFormat="1" ht="16.5" customHeight="1">
      <c r="B355" s="6"/>
      <c r="C355" s="95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6"/>
      <c r="V355" s="6"/>
      <c r="W355" s="25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s="18" customFormat="1" ht="16.5" customHeight="1">
      <c r="B356" s="6"/>
      <c r="C356" s="95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6"/>
      <c r="V356" s="6"/>
      <c r="W356" s="25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s="18" customFormat="1" ht="16.5" customHeight="1">
      <c r="B357" s="6"/>
      <c r="C357" s="95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6"/>
      <c r="V357" s="6"/>
      <c r="W357" s="25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s="18" customFormat="1" ht="16.5" customHeight="1">
      <c r="B358" s="6"/>
      <c r="C358" s="95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6"/>
      <c r="V358" s="6"/>
      <c r="W358" s="25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s="18" customFormat="1" ht="16.5" customHeight="1">
      <c r="B359" s="6"/>
      <c r="C359" s="95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6"/>
      <c r="V359" s="6"/>
      <c r="W359" s="25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s="18" customFormat="1" ht="16.5" customHeight="1">
      <c r="B360" s="6"/>
      <c r="C360" s="95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6"/>
      <c r="V360" s="6"/>
      <c r="W360" s="25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s="18" customFormat="1" ht="16.5" customHeight="1">
      <c r="B361" s="6"/>
      <c r="C361" s="95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6"/>
      <c r="V361" s="6"/>
      <c r="W361" s="25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s="18" customFormat="1" ht="16.5" customHeight="1">
      <c r="B362" s="6"/>
      <c r="C362" s="95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6"/>
      <c r="V362" s="6"/>
      <c r="W362" s="25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s="18" customFormat="1" ht="16.5" customHeight="1">
      <c r="B363" s="6"/>
      <c r="C363" s="95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6"/>
      <c r="V363" s="6"/>
      <c r="W363" s="25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s="18" customFormat="1" ht="16.5" customHeight="1">
      <c r="B364" s="6"/>
      <c r="C364" s="95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6"/>
      <c r="V364" s="6"/>
      <c r="W364" s="25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s="18" customFormat="1" ht="16.5" customHeight="1">
      <c r="B365" s="6"/>
      <c r="C365" s="95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6"/>
      <c r="V365" s="6"/>
      <c r="W365" s="25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s="18" customFormat="1" ht="16.5" customHeight="1">
      <c r="B366" s="6"/>
      <c r="C366" s="95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6"/>
      <c r="V366" s="6"/>
      <c r="W366" s="25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s="18" customFormat="1" ht="16.5" customHeight="1">
      <c r="B367" s="6"/>
      <c r="C367" s="95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6"/>
      <c r="V367" s="6"/>
      <c r="W367" s="25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s="18" customFormat="1" ht="16.5" customHeight="1">
      <c r="B368" s="6"/>
      <c r="C368" s="95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6"/>
      <c r="V368" s="6"/>
      <c r="W368" s="25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s="18" customFormat="1" ht="16.5" customHeight="1">
      <c r="B369" s="6"/>
      <c r="C369" s="95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6"/>
      <c r="V369" s="6"/>
      <c r="W369" s="25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s="18" customFormat="1" ht="16.5" customHeight="1">
      <c r="B370" s="6"/>
      <c r="C370" s="95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6"/>
      <c r="V370" s="6"/>
      <c r="W370" s="25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s="18" customFormat="1" ht="16.5" customHeight="1">
      <c r="B371" s="6"/>
      <c r="C371" s="95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6"/>
      <c r="V371" s="6"/>
      <c r="W371" s="25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s="18" customFormat="1" ht="16.5" customHeight="1">
      <c r="B372" s="6"/>
      <c r="C372" s="95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6"/>
      <c r="V372" s="6"/>
      <c r="W372" s="25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s="18" customFormat="1" ht="16.5" customHeight="1">
      <c r="B373" s="6"/>
      <c r="C373" s="95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6"/>
      <c r="V373" s="6"/>
      <c r="W373" s="25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s="18" customFormat="1" ht="16.5" customHeight="1">
      <c r="B374" s="6"/>
      <c r="C374" s="95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6"/>
      <c r="V374" s="6"/>
      <c r="W374" s="25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s="18" customFormat="1" ht="16.5" customHeight="1">
      <c r="B375" s="6"/>
      <c r="C375" s="95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6"/>
      <c r="V375" s="6"/>
      <c r="W375" s="25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s="18" customFormat="1" ht="16.5" customHeight="1">
      <c r="B376" s="6"/>
      <c r="C376" s="95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6"/>
      <c r="V376" s="6"/>
      <c r="W376" s="25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s="18" customFormat="1" ht="16.5" customHeight="1">
      <c r="B377" s="6"/>
      <c r="C377" s="95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6"/>
      <c r="V377" s="6"/>
      <c r="W377" s="25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s="18" customFormat="1" ht="16.5" customHeight="1">
      <c r="B378" s="6"/>
      <c r="C378" s="95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6"/>
      <c r="V378" s="6"/>
      <c r="W378" s="25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s="18" customFormat="1" ht="16.5" customHeight="1">
      <c r="B379" s="6"/>
      <c r="C379" s="95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6"/>
      <c r="V379" s="6"/>
      <c r="W379" s="25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s="18" customFormat="1" ht="16.5" customHeight="1">
      <c r="B380" s="6"/>
      <c r="C380" s="95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6"/>
      <c r="V380" s="6"/>
      <c r="W380" s="25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s="18" customFormat="1" ht="16.5" customHeight="1">
      <c r="B381" s="6"/>
      <c r="C381" s="95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6"/>
      <c r="V381" s="6"/>
      <c r="W381" s="25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s="18" customFormat="1" ht="16.5" customHeight="1">
      <c r="B382" s="6"/>
      <c r="C382" s="95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6"/>
      <c r="V382" s="6"/>
      <c r="W382" s="25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s="18" customFormat="1" ht="16.5" customHeight="1">
      <c r="B383" s="6"/>
      <c r="C383" s="95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6"/>
      <c r="V383" s="6"/>
      <c r="W383" s="25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s="18" customFormat="1" ht="16.5" customHeight="1">
      <c r="B384" s="6"/>
      <c r="C384" s="95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6"/>
      <c r="V384" s="6"/>
      <c r="W384" s="25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s="18" customFormat="1" ht="16.5" customHeight="1">
      <c r="B385" s="6"/>
      <c r="C385" s="95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6"/>
      <c r="V385" s="6"/>
      <c r="W385" s="25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s="18" customFormat="1" ht="16.5" customHeight="1">
      <c r="B386" s="6"/>
      <c r="C386" s="95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6"/>
      <c r="V386" s="6"/>
      <c r="W386" s="25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s="18" customFormat="1" ht="16.5" customHeight="1">
      <c r="B387" s="6"/>
      <c r="C387" s="95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6"/>
      <c r="V387" s="6"/>
      <c r="W387" s="25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s="18" customFormat="1" ht="16.5" customHeight="1">
      <c r="B388" s="6"/>
      <c r="C388" s="95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6"/>
      <c r="V388" s="6"/>
      <c r="W388" s="25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s="18" customFormat="1" ht="16.5" customHeight="1">
      <c r="B389" s="6"/>
      <c r="C389" s="95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6"/>
      <c r="V389" s="6"/>
      <c r="W389" s="25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s="18" customFormat="1" ht="16.5" customHeight="1">
      <c r="B390" s="6"/>
      <c r="C390" s="95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6"/>
      <c r="V390" s="6"/>
      <c r="W390" s="25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s="18" customFormat="1" ht="16.5" customHeight="1">
      <c r="B391" s="6"/>
      <c r="C391" s="95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6"/>
      <c r="V391" s="6"/>
      <c r="W391" s="25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s="18" customFormat="1" ht="16.5" customHeight="1">
      <c r="B392" s="6"/>
      <c r="C392" s="95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6"/>
      <c r="V392" s="6"/>
      <c r="W392" s="25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s="18" customFormat="1" ht="16.5" customHeight="1">
      <c r="B393" s="6"/>
      <c r="C393" s="95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6"/>
      <c r="V393" s="6"/>
      <c r="W393" s="25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s="18" customFormat="1" ht="16.5" customHeight="1">
      <c r="B394" s="6"/>
      <c r="C394" s="95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6"/>
      <c r="V394" s="6"/>
      <c r="W394" s="25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s="18" customFormat="1" ht="16.5" customHeight="1">
      <c r="B395" s="6"/>
      <c r="C395" s="95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6"/>
      <c r="V395" s="6"/>
      <c r="W395" s="25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s="18" customFormat="1" ht="16.5" customHeight="1">
      <c r="B396" s="6"/>
      <c r="C396" s="95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6"/>
      <c r="V396" s="6"/>
      <c r="W396" s="25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s="18" customFormat="1" ht="16.5" customHeight="1">
      <c r="B397" s="6"/>
      <c r="C397" s="95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6"/>
      <c r="V397" s="6"/>
      <c r="W397" s="25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s="18" customFormat="1" ht="16.5" customHeight="1">
      <c r="B398" s="6"/>
      <c r="C398" s="95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6"/>
      <c r="V398" s="6"/>
      <c r="W398" s="25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s="18" customFormat="1" ht="16.5" customHeight="1">
      <c r="B399" s="6"/>
      <c r="C399" s="95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6"/>
      <c r="V399" s="6"/>
      <c r="W399" s="25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s="18" customFormat="1" ht="16.5" customHeight="1">
      <c r="B400" s="6"/>
      <c r="C400" s="95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6"/>
      <c r="V400" s="6"/>
      <c r="W400" s="25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s="18" customFormat="1" ht="16.5" customHeight="1">
      <c r="B401" s="6"/>
      <c r="C401" s="95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6"/>
      <c r="V401" s="6"/>
      <c r="W401" s="25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s="18" customFormat="1" ht="16.5" customHeight="1">
      <c r="B402" s="6"/>
      <c r="C402" s="95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6"/>
      <c r="V402" s="6"/>
      <c r="W402" s="25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s="18" customFormat="1" ht="16.5" customHeight="1">
      <c r="B403" s="6"/>
      <c r="C403" s="95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6"/>
      <c r="V403" s="6"/>
      <c r="W403" s="25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s="18" customFormat="1" ht="16.5" customHeight="1">
      <c r="B404" s="6"/>
      <c r="C404" s="95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6"/>
      <c r="V404" s="6"/>
      <c r="W404" s="25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s="18" customFormat="1" ht="16.5" customHeight="1">
      <c r="B405" s="6"/>
      <c r="C405" s="95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6"/>
      <c r="V405" s="6"/>
      <c r="W405" s="25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s="18" customFormat="1" ht="16.5" customHeight="1">
      <c r="B406" s="6"/>
      <c r="C406" s="95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6"/>
      <c r="V406" s="6"/>
      <c r="W406" s="25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s="18" customFormat="1" ht="16.5" customHeight="1">
      <c r="B407" s="6"/>
      <c r="C407" s="95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6"/>
      <c r="V407" s="6"/>
      <c r="W407" s="25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s="18" customFormat="1" ht="16.5" customHeight="1">
      <c r="B408" s="6"/>
      <c r="C408" s="95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6"/>
      <c r="V408" s="6"/>
      <c r="W408" s="25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s="18" customFormat="1" ht="16.5" customHeight="1">
      <c r="B409" s="6"/>
      <c r="C409" s="95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6"/>
      <c r="V409" s="6"/>
      <c r="W409" s="25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s="18" customFormat="1" ht="16.5" customHeight="1">
      <c r="B410" s="6"/>
      <c r="C410" s="95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6"/>
      <c r="V410" s="6"/>
      <c r="W410" s="25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s="18" customFormat="1" ht="16.5" customHeight="1">
      <c r="B411" s="6"/>
      <c r="C411" s="95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6"/>
      <c r="V411" s="6"/>
      <c r="W411" s="25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s="18" customFormat="1" ht="16.5" customHeight="1">
      <c r="B412" s="6"/>
      <c r="C412" s="95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6"/>
      <c r="V412" s="6"/>
      <c r="W412" s="25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s="18" customFormat="1" ht="16.5" customHeight="1">
      <c r="B413" s="6"/>
      <c r="C413" s="95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6"/>
      <c r="V413" s="6"/>
      <c r="W413" s="25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s="18" customFormat="1" ht="16.5" customHeight="1">
      <c r="B414" s="6"/>
      <c r="C414" s="95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6"/>
      <c r="V414" s="6"/>
      <c r="W414" s="25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s="18" customFormat="1" ht="16.5" customHeight="1">
      <c r="B415" s="6"/>
      <c r="C415" s="95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6"/>
      <c r="V415" s="6"/>
      <c r="W415" s="25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s="18" customFormat="1" ht="16.5" customHeight="1">
      <c r="B416" s="6"/>
      <c r="C416" s="95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6"/>
      <c r="V416" s="6"/>
      <c r="W416" s="25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s="18" customFormat="1" ht="16.5" customHeight="1">
      <c r="B417" s="6"/>
      <c r="C417" s="95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6"/>
      <c r="V417" s="6"/>
      <c r="W417" s="25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s="18" customFormat="1" ht="16.5" customHeight="1">
      <c r="B418" s="6"/>
      <c r="C418" s="95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6"/>
      <c r="V418" s="6"/>
      <c r="W418" s="25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s="18" customFormat="1" ht="16.5" customHeight="1">
      <c r="B419" s="6"/>
      <c r="C419" s="95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6"/>
      <c r="V419" s="6"/>
      <c r="W419" s="25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s="18" customFormat="1" ht="16.5" customHeight="1">
      <c r="B420" s="6"/>
      <c r="C420" s="95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6"/>
      <c r="V420" s="6"/>
      <c r="W420" s="25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s="18" customFormat="1" ht="16.5" customHeight="1">
      <c r="B421" s="6"/>
      <c r="C421" s="95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6"/>
      <c r="V421" s="6"/>
      <c r="W421" s="25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s="18" customFormat="1" ht="16.5" customHeight="1">
      <c r="B422" s="6"/>
      <c r="C422" s="95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6"/>
      <c r="V422" s="6"/>
      <c r="W422" s="25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s="18" customFormat="1" ht="16.5" customHeight="1">
      <c r="B423" s="6"/>
      <c r="C423" s="95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6"/>
      <c r="V423" s="6"/>
      <c r="W423" s="25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s="18" customFormat="1" ht="16.5" customHeight="1">
      <c r="B424" s="6"/>
      <c r="C424" s="95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6"/>
      <c r="V424" s="6"/>
      <c r="W424" s="25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s="18" customFormat="1" ht="16.5" customHeight="1">
      <c r="B425" s="6"/>
      <c r="C425" s="95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6"/>
      <c r="V425" s="6"/>
      <c r="W425" s="25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s="18" customFormat="1" ht="16.5" customHeight="1">
      <c r="B426" s="6"/>
      <c r="C426" s="95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6"/>
      <c r="V426" s="6"/>
      <c r="W426" s="25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s="18" customFormat="1" ht="16.5" customHeight="1">
      <c r="B427" s="6"/>
      <c r="C427" s="95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6"/>
      <c r="V427" s="6"/>
      <c r="W427" s="25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s="18" customFormat="1" ht="16.5" customHeight="1">
      <c r="B428" s="6"/>
      <c r="C428" s="95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6"/>
      <c r="V428" s="6"/>
      <c r="W428" s="25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s="18" customFormat="1" ht="16.5" customHeight="1">
      <c r="B429" s="6"/>
      <c r="C429" s="95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6"/>
      <c r="V429" s="6"/>
      <c r="W429" s="25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s="18" customFormat="1" ht="16.5" customHeight="1">
      <c r="B430" s="6"/>
      <c r="C430" s="95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6"/>
      <c r="V430" s="6"/>
      <c r="W430" s="25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s="18" customFormat="1" ht="16.5" customHeight="1">
      <c r="B431" s="6"/>
      <c r="C431" s="95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6"/>
      <c r="V431" s="6"/>
      <c r="W431" s="25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s="18" customFormat="1" ht="16.5" customHeight="1">
      <c r="B432" s="6"/>
      <c r="C432" s="95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6"/>
      <c r="V432" s="6"/>
      <c r="W432" s="25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s="18" customFormat="1" ht="16.5" customHeight="1">
      <c r="B433" s="6"/>
      <c r="C433" s="95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6"/>
      <c r="V433" s="6"/>
      <c r="W433" s="25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s="18" customFormat="1" ht="16.5" customHeight="1">
      <c r="B434" s="6"/>
      <c r="C434" s="95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6"/>
      <c r="V434" s="6"/>
      <c r="W434" s="25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s="18" customFormat="1" ht="16.5" customHeight="1">
      <c r="B435" s="6"/>
      <c r="C435" s="95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6"/>
      <c r="V435" s="6"/>
      <c r="W435" s="25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s="18" customFormat="1" ht="16.5" customHeight="1">
      <c r="B436" s="6"/>
      <c r="C436" s="95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6"/>
      <c r="V436" s="6"/>
      <c r="W436" s="25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s="18" customFormat="1" ht="16.5" customHeight="1">
      <c r="B437" s="6"/>
      <c r="C437" s="95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6"/>
      <c r="V437" s="6"/>
      <c r="W437" s="25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s="18" customFormat="1" ht="16.5" customHeight="1">
      <c r="B438" s="6"/>
      <c r="C438" s="95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6"/>
      <c r="V438" s="6"/>
      <c r="W438" s="25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s="18" customFormat="1" ht="16.5" customHeight="1">
      <c r="B439" s="6"/>
      <c r="C439" s="95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6"/>
      <c r="V439" s="6"/>
      <c r="W439" s="25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s="18" customFormat="1" ht="16.5" customHeight="1">
      <c r="B440" s="6"/>
      <c r="C440" s="95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6"/>
      <c r="V440" s="6"/>
      <c r="W440" s="25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s="18" customFormat="1" ht="16.5" customHeight="1">
      <c r="B441" s="6"/>
      <c r="C441" s="95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6"/>
      <c r="V441" s="6"/>
      <c r="W441" s="25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s="18" customFormat="1" ht="16.5" customHeight="1">
      <c r="B442" s="6"/>
      <c r="C442" s="95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6"/>
      <c r="V442" s="6"/>
      <c r="W442" s="25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s="18" customFormat="1" ht="16.5" customHeight="1">
      <c r="B443" s="6"/>
      <c r="C443" s="95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6"/>
      <c r="V443" s="6"/>
      <c r="W443" s="25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s="18" customFormat="1" ht="16.5" customHeight="1">
      <c r="B444" s="6"/>
      <c r="C444" s="95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6"/>
      <c r="V444" s="6"/>
      <c r="W444" s="25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s="18" customFormat="1" ht="16.5" customHeight="1">
      <c r="B445" s="6"/>
      <c r="C445" s="95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6"/>
      <c r="V445" s="6"/>
      <c r="W445" s="25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" ht="16.5" customHeight="1">
      <c r="A446" s="18"/>
      <c r="C446" s="95"/>
    </row>
    <row r="447" spans="1:3" ht="16.5" customHeight="1">
      <c r="A447" s="18"/>
      <c r="C447" s="95"/>
    </row>
    <row r="448" spans="1:3" ht="16.5" customHeight="1">
      <c r="A448" s="18"/>
      <c r="C448" s="95"/>
    </row>
    <row r="449" spans="1:3" ht="16.5" customHeight="1">
      <c r="A449" s="18"/>
      <c r="C449" s="95"/>
    </row>
    <row r="450" spans="1:35" s="17" customFormat="1" ht="16.5" customHeight="1">
      <c r="A450" s="18"/>
      <c r="B450" s="6"/>
      <c r="C450" s="95"/>
      <c r="U450" s="6"/>
      <c r="V450" s="6"/>
      <c r="W450" s="25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s="17" customFormat="1" ht="16.5" customHeight="1">
      <c r="A451" s="18"/>
      <c r="B451" s="6"/>
      <c r="C451" s="95"/>
      <c r="U451" s="6"/>
      <c r="V451" s="6"/>
      <c r="W451" s="25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s="17" customFormat="1" ht="16.5" customHeight="1">
      <c r="A452" s="18"/>
      <c r="B452" s="6"/>
      <c r="C452" s="95"/>
      <c r="U452" s="6"/>
      <c r="V452" s="6"/>
      <c r="W452" s="25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s="17" customFormat="1" ht="16.5" customHeight="1">
      <c r="A453" s="18"/>
      <c r="B453" s="6"/>
      <c r="C453" s="95"/>
      <c r="U453" s="6"/>
      <c r="V453" s="6"/>
      <c r="W453" s="25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s="17" customFormat="1" ht="16.5" customHeight="1">
      <c r="A454" s="18"/>
      <c r="B454" s="6"/>
      <c r="C454" s="95"/>
      <c r="U454" s="6"/>
      <c r="V454" s="6"/>
      <c r="W454" s="25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s="17" customFormat="1" ht="16.5" customHeight="1">
      <c r="A455" s="18"/>
      <c r="B455" s="6"/>
      <c r="C455" s="95"/>
      <c r="U455" s="6"/>
      <c r="V455" s="6"/>
      <c r="W455" s="25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s="17" customFormat="1" ht="16.5" customHeight="1">
      <c r="A456" s="18"/>
      <c r="B456" s="6"/>
      <c r="C456" s="6"/>
      <c r="U456" s="6"/>
      <c r="V456" s="6"/>
      <c r="W456" s="25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s="17" customFormat="1" ht="16.5" customHeight="1">
      <c r="A457" s="18"/>
      <c r="B457" s="6"/>
      <c r="C457" s="6"/>
      <c r="U457" s="6"/>
      <c r="V457" s="6"/>
      <c r="W457" s="25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</sheetData>
  <sheetProtection/>
  <mergeCells count="102">
    <mergeCell ref="B8:F8"/>
    <mergeCell ref="B9:E9"/>
    <mergeCell ref="A14:A15"/>
    <mergeCell ref="B14:B15"/>
    <mergeCell ref="D14:F14"/>
    <mergeCell ref="H14:O14"/>
    <mergeCell ref="P14:T14"/>
    <mergeCell ref="A23:A24"/>
    <mergeCell ref="B23:B24"/>
    <mergeCell ref="D23:F23"/>
    <mergeCell ref="H23:O23"/>
    <mergeCell ref="P23:T23"/>
    <mergeCell ref="A38:A39"/>
    <mergeCell ref="B38:B39"/>
    <mergeCell ref="D38:F38"/>
    <mergeCell ref="H38:O38"/>
    <mergeCell ref="P38:T38"/>
    <mergeCell ref="A47:A48"/>
    <mergeCell ref="B47:B48"/>
    <mergeCell ref="D47:F47"/>
    <mergeCell ref="H47:O47"/>
    <mergeCell ref="P47:T47"/>
    <mergeCell ref="A67:A68"/>
    <mergeCell ref="B67:B68"/>
    <mergeCell ref="D67:F67"/>
    <mergeCell ref="H67:O67"/>
    <mergeCell ref="P67:T67"/>
    <mergeCell ref="A78:A79"/>
    <mergeCell ref="B78:B79"/>
    <mergeCell ref="D78:F78"/>
    <mergeCell ref="H78:O78"/>
    <mergeCell ref="P78:T78"/>
    <mergeCell ref="A95:A96"/>
    <mergeCell ref="B95:B96"/>
    <mergeCell ref="D95:F95"/>
    <mergeCell ref="H95:O95"/>
    <mergeCell ref="P95:T95"/>
    <mergeCell ref="A107:A108"/>
    <mergeCell ref="B107:B108"/>
    <mergeCell ref="D107:F107"/>
    <mergeCell ref="H107:O107"/>
    <mergeCell ref="P107:T107"/>
    <mergeCell ref="A125:A126"/>
    <mergeCell ref="B125:B126"/>
    <mergeCell ref="D125:F125"/>
    <mergeCell ref="H125:O125"/>
    <mergeCell ref="P125:T125"/>
    <mergeCell ref="A136:A137"/>
    <mergeCell ref="B136:B137"/>
    <mergeCell ref="D136:F136"/>
    <mergeCell ref="H136:O136"/>
    <mergeCell ref="P136:T136"/>
    <mergeCell ref="A154:A155"/>
    <mergeCell ref="B154:B155"/>
    <mergeCell ref="D154:F154"/>
    <mergeCell ref="H154:O154"/>
    <mergeCell ref="P154:T154"/>
    <mergeCell ref="A163:A164"/>
    <mergeCell ref="B163:B164"/>
    <mergeCell ref="D163:F163"/>
    <mergeCell ref="H163:O163"/>
    <mergeCell ref="P163:T163"/>
    <mergeCell ref="A182:A183"/>
    <mergeCell ref="B182:B183"/>
    <mergeCell ref="D182:F182"/>
    <mergeCell ref="H182:O182"/>
    <mergeCell ref="P182:T182"/>
    <mergeCell ref="A192:A193"/>
    <mergeCell ref="B192:B193"/>
    <mergeCell ref="D192:F192"/>
    <mergeCell ref="H192:O192"/>
    <mergeCell ref="P192:T192"/>
    <mergeCell ref="A209:A210"/>
    <mergeCell ref="B209:B210"/>
    <mergeCell ref="D209:F209"/>
    <mergeCell ref="H209:O209"/>
    <mergeCell ref="P209:T209"/>
    <mergeCell ref="A219:A220"/>
    <mergeCell ref="B219:B220"/>
    <mergeCell ref="D219:F219"/>
    <mergeCell ref="H219:O219"/>
    <mergeCell ref="P219:T219"/>
    <mergeCell ref="A238:A239"/>
    <mergeCell ref="B238:B239"/>
    <mergeCell ref="D238:F238"/>
    <mergeCell ref="H238:O238"/>
    <mergeCell ref="P238:T238"/>
    <mergeCell ref="A249:A250"/>
    <mergeCell ref="B249:B250"/>
    <mergeCell ref="D249:F249"/>
    <mergeCell ref="H249:O249"/>
    <mergeCell ref="P249:T249"/>
    <mergeCell ref="A267:A268"/>
    <mergeCell ref="B267:B268"/>
    <mergeCell ref="D267:F267"/>
    <mergeCell ref="H267:O267"/>
    <mergeCell ref="P267:T267"/>
    <mergeCell ref="A279:A280"/>
    <mergeCell ref="B279:B280"/>
    <mergeCell ref="D279:F279"/>
    <mergeCell ref="H279:O279"/>
    <mergeCell ref="P279:T279"/>
  </mergeCells>
  <printOptions/>
  <pageMargins left="0" right="0" top="0" bottom="0" header="0" footer="0"/>
  <pageSetup fitToHeight="12" fitToWidth="12" horizontalDpi="600" verticalDpi="600" orientation="landscape" paperSize="9" scale="80" r:id="rId1"/>
  <rowBreaks count="10" manualBreakCount="10">
    <brk id="31" max="20" man="1"/>
    <brk id="60" max="20" man="1"/>
    <brk id="88" max="20" man="1"/>
    <brk id="118" max="20" man="1"/>
    <brk id="146" min="1" max="20" man="1"/>
    <brk id="174" max="20" man="1"/>
    <brk id="202" max="20" man="1"/>
    <brk id="231" max="20" man="1"/>
    <brk id="260" max="20" man="1"/>
    <brk id="293" min="1" max="20" man="1"/>
  </rowBreaks>
  <ignoredErrors>
    <ignoredError sqref="T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Q41"/>
  <sheetViews>
    <sheetView view="pageBreakPreview" zoomScaleSheetLayoutView="100" zoomScalePageLayoutView="70" workbookViewId="0" topLeftCell="A1">
      <selection activeCell="L16" sqref="L16"/>
    </sheetView>
  </sheetViews>
  <sheetFormatPr defaultColWidth="5.28125" defaultRowHeight="15"/>
  <cols>
    <col min="1" max="1" width="24.8515625" style="205" customWidth="1"/>
    <col min="2" max="2" width="11.421875" style="205" customWidth="1"/>
    <col min="3" max="3" width="6.28125" style="205" customWidth="1"/>
    <col min="4" max="4" width="6.00390625" style="205" customWidth="1"/>
    <col min="5" max="5" width="6.57421875" style="205" customWidth="1"/>
    <col min="6" max="7" width="6.57421875" style="205" bestFit="1" customWidth="1"/>
    <col min="8" max="8" width="6.421875" style="205" customWidth="1"/>
    <col min="9" max="9" width="6.57421875" style="205" bestFit="1" customWidth="1"/>
    <col min="10" max="10" width="6.421875" style="205" customWidth="1"/>
    <col min="11" max="11" width="6.57421875" style="205" bestFit="1" customWidth="1"/>
    <col min="12" max="12" width="6.421875" style="205" customWidth="1"/>
    <col min="13" max="13" width="13.00390625" style="205" customWidth="1"/>
    <col min="14" max="14" width="13.140625" style="205" customWidth="1"/>
    <col min="15" max="15" width="12.8515625" style="205" customWidth="1"/>
    <col min="16" max="38" width="9.140625" style="192" customWidth="1"/>
    <col min="39" max="239" width="9.140625" style="205" customWidth="1"/>
    <col min="240" max="240" width="24.8515625" style="205" customWidth="1"/>
    <col min="241" max="241" width="11.421875" style="205" customWidth="1"/>
    <col min="242" max="16384" width="5.28125" style="205" customWidth="1"/>
  </cols>
  <sheetData>
    <row r="1" spans="1:16" ht="14.25">
      <c r="A1" s="486" t="s">
        <v>352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209"/>
    </row>
    <row r="2" spans="1:15" ht="14.25">
      <c r="A2" s="485" t="s">
        <v>238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193"/>
    </row>
    <row r="3" spans="1:15" ht="74.25" customHeight="1">
      <c r="A3" s="194" t="s">
        <v>239</v>
      </c>
      <c r="B3" s="195" t="s">
        <v>240</v>
      </c>
      <c r="C3" s="195" t="s">
        <v>241</v>
      </c>
      <c r="D3" s="195" t="s">
        <v>242</v>
      </c>
      <c r="E3" s="195" t="s">
        <v>243</v>
      </c>
      <c r="F3" s="195" t="s">
        <v>244</v>
      </c>
      <c r="G3" s="195" t="s">
        <v>245</v>
      </c>
      <c r="H3" s="195" t="s">
        <v>246</v>
      </c>
      <c r="I3" s="195" t="s">
        <v>247</v>
      </c>
      <c r="J3" s="195" t="s">
        <v>248</v>
      </c>
      <c r="K3" s="195" t="s">
        <v>249</v>
      </c>
      <c r="L3" s="195" t="s">
        <v>250</v>
      </c>
      <c r="M3" s="195" t="s">
        <v>251</v>
      </c>
      <c r="N3" s="195" t="s">
        <v>252</v>
      </c>
      <c r="O3" s="195" t="s">
        <v>253</v>
      </c>
    </row>
    <row r="4" spans="1:15" s="199" customFormat="1" ht="18.75" customHeight="1">
      <c r="A4" s="196" t="s">
        <v>62</v>
      </c>
      <c r="B4" s="198">
        <v>48</v>
      </c>
      <c r="C4" s="207">
        <v>60</v>
      </c>
      <c r="D4" s="207">
        <v>25</v>
      </c>
      <c r="E4" s="207">
        <v>30</v>
      </c>
      <c r="F4" s="207">
        <v>55</v>
      </c>
      <c r="G4" s="207">
        <v>0</v>
      </c>
      <c r="H4" s="207">
        <v>30</v>
      </c>
      <c r="I4" s="207">
        <v>30</v>
      </c>
      <c r="J4" s="207">
        <v>50</v>
      </c>
      <c r="K4" s="207">
        <v>60</v>
      </c>
      <c r="L4" s="207">
        <v>50</v>
      </c>
      <c r="M4" s="197">
        <f>SUM(C4:L4)</f>
        <v>390</v>
      </c>
      <c r="N4" s="198">
        <f>M4/10</f>
        <v>39</v>
      </c>
      <c r="O4" s="198">
        <f>N4-B4</f>
        <v>-9</v>
      </c>
    </row>
    <row r="5" spans="1:15" ht="15">
      <c r="A5" s="200" t="s">
        <v>92</v>
      </c>
      <c r="B5" s="198">
        <v>90</v>
      </c>
      <c r="C5" s="207">
        <v>30</v>
      </c>
      <c r="D5" s="207">
        <f>8+30+25</f>
        <v>63</v>
      </c>
      <c r="E5" s="207">
        <v>60</v>
      </c>
      <c r="F5" s="207">
        <f>16+25</f>
        <v>41</v>
      </c>
      <c r="G5" s="207">
        <v>48</v>
      </c>
      <c r="H5" s="207">
        <v>60</v>
      </c>
      <c r="I5" s="207">
        <v>15</v>
      </c>
      <c r="J5" s="207">
        <v>18</v>
      </c>
      <c r="K5" s="207">
        <v>30</v>
      </c>
      <c r="L5" s="207">
        <v>30</v>
      </c>
      <c r="M5" s="197">
        <f aca="true" t="shared" si="0" ref="M5:M31">SUM(C5:L5)</f>
        <v>395</v>
      </c>
      <c r="N5" s="198">
        <f aca="true" t="shared" si="1" ref="N5:N40">M5/10</f>
        <v>39.5</v>
      </c>
      <c r="O5" s="195">
        <f aca="true" t="shared" si="2" ref="O5:O31">N5-B5</f>
        <v>-50.5</v>
      </c>
    </row>
    <row r="6" spans="1:15" s="199" customFormat="1" ht="15">
      <c r="A6" s="200" t="s">
        <v>254</v>
      </c>
      <c r="B6" s="198">
        <v>9</v>
      </c>
      <c r="C6" s="207">
        <v>2.7</v>
      </c>
      <c r="D6" s="207">
        <v>0</v>
      </c>
      <c r="E6" s="207">
        <v>0</v>
      </c>
      <c r="F6" s="207">
        <v>0</v>
      </c>
      <c r="G6" s="207">
        <f>18+18.7</f>
        <v>36.7</v>
      </c>
      <c r="H6" s="207">
        <v>0</v>
      </c>
      <c r="I6" s="207">
        <v>0</v>
      </c>
      <c r="J6" s="207">
        <v>24.5</v>
      </c>
      <c r="K6" s="207">
        <v>0</v>
      </c>
      <c r="L6" s="207">
        <v>22</v>
      </c>
      <c r="M6" s="197">
        <f t="shared" si="0"/>
        <v>85.9</v>
      </c>
      <c r="N6" s="198">
        <f t="shared" si="1"/>
        <v>8.59</v>
      </c>
      <c r="O6" s="198">
        <f t="shared" si="2"/>
        <v>-0.41000000000000014</v>
      </c>
    </row>
    <row r="7" spans="1:17" ht="15">
      <c r="A7" s="200" t="s">
        <v>255</v>
      </c>
      <c r="B7" s="198">
        <v>27</v>
      </c>
      <c r="C7" s="207">
        <v>0</v>
      </c>
      <c r="D7" s="207">
        <f>39+54</f>
        <v>93</v>
      </c>
      <c r="E7" s="207">
        <f>10+69.3+5</f>
        <v>84.3</v>
      </c>
      <c r="F7" s="207">
        <v>50</v>
      </c>
      <c r="G7" s="207">
        <v>54.5</v>
      </c>
      <c r="H7" s="207">
        <v>26</v>
      </c>
      <c r="I7" s="207">
        <v>45.5</v>
      </c>
      <c r="J7" s="207">
        <v>25</v>
      </c>
      <c r="K7" s="207">
        <v>53</v>
      </c>
      <c r="L7" s="207">
        <v>69.3</v>
      </c>
      <c r="M7" s="197">
        <f t="shared" si="0"/>
        <v>500.6</v>
      </c>
      <c r="N7" s="198">
        <f t="shared" si="1"/>
        <v>50.06</v>
      </c>
      <c r="O7" s="198">
        <f t="shared" si="2"/>
        <v>23.060000000000002</v>
      </c>
      <c r="Q7" s="192" t="s">
        <v>256</v>
      </c>
    </row>
    <row r="8" spans="1:15" s="199" customFormat="1" ht="15">
      <c r="A8" s="200" t="s">
        <v>257</v>
      </c>
      <c r="B8" s="198">
        <v>9</v>
      </c>
      <c r="C8" s="207">
        <v>50.93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50.93</v>
      </c>
      <c r="L8" s="207">
        <v>0</v>
      </c>
      <c r="M8" s="197">
        <f t="shared" si="0"/>
        <v>101.86</v>
      </c>
      <c r="N8" s="198">
        <f t="shared" si="1"/>
        <v>10.186</v>
      </c>
      <c r="O8" s="198">
        <f t="shared" si="2"/>
        <v>1.186</v>
      </c>
    </row>
    <row r="9" spans="1:15" ht="15">
      <c r="A9" s="200" t="s">
        <v>258</v>
      </c>
      <c r="B9" s="198">
        <v>112.8</v>
      </c>
      <c r="C9" s="207">
        <f>30+128</f>
        <v>158</v>
      </c>
      <c r="D9" s="207">
        <f>21+38</f>
        <v>59</v>
      </c>
      <c r="E9" s="207">
        <v>75</v>
      </c>
      <c r="F9" s="208">
        <f>128+50</f>
        <v>178</v>
      </c>
      <c r="G9" s="207">
        <f>128</f>
        <v>128</v>
      </c>
      <c r="H9" s="207">
        <f>45+120</f>
        <v>165</v>
      </c>
      <c r="I9" s="207">
        <f>190+10+30.6+20</f>
        <v>250.6</v>
      </c>
      <c r="J9" s="207">
        <f>16+50+30+30</f>
        <v>126</v>
      </c>
      <c r="K9" s="207">
        <v>20</v>
      </c>
      <c r="L9" s="207">
        <f>128+22</f>
        <v>150</v>
      </c>
      <c r="M9" s="197">
        <f t="shared" si="0"/>
        <v>1309.6</v>
      </c>
      <c r="N9" s="198">
        <f t="shared" si="1"/>
        <v>130.95999999999998</v>
      </c>
      <c r="O9" s="198">
        <f t="shared" si="2"/>
        <v>18.159999999999982</v>
      </c>
    </row>
    <row r="10" spans="1:15" s="199" customFormat="1" ht="15">
      <c r="A10" s="200" t="s">
        <v>259</v>
      </c>
      <c r="B10" s="198">
        <v>168</v>
      </c>
      <c r="C10" s="207">
        <f>50+50+23+16</f>
        <v>139</v>
      </c>
      <c r="D10" s="207">
        <f>40+17+20+8</f>
        <v>85</v>
      </c>
      <c r="E10" s="207">
        <f>50+6.4+15</f>
        <v>71.4</v>
      </c>
      <c r="F10" s="208">
        <f>12+50+72+52.6+25</f>
        <v>211.6</v>
      </c>
      <c r="G10" s="207">
        <f>25+12+30+107+33+20</f>
        <v>227</v>
      </c>
      <c r="H10" s="207">
        <f>15+80+15</f>
        <v>110</v>
      </c>
      <c r="I10" s="207">
        <f>25+15+26.6+9+15+15</f>
        <v>105.6</v>
      </c>
      <c r="J10" s="207">
        <f>25+15+30+10+99.6+81.3</f>
        <v>260.9</v>
      </c>
      <c r="K10" s="207">
        <f>50+85+24</f>
        <v>159</v>
      </c>
      <c r="L10" s="207">
        <f>51+20+10</f>
        <v>81</v>
      </c>
      <c r="M10" s="197">
        <f t="shared" si="0"/>
        <v>1450.5</v>
      </c>
      <c r="N10" s="198">
        <f t="shared" si="1"/>
        <v>145.05</v>
      </c>
      <c r="O10" s="198">
        <f t="shared" si="2"/>
        <v>-22.94999999999999</v>
      </c>
    </row>
    <row r="11" spans="1:15" ht="15">
      <c r="A11" s="200" t="s">
        <v>260</v>
      </c>
      <c r="B11" s="198">
        <v>111</v>
      </c>
      <c r="C11" s="207">
        <v>40</v>
      </c>
      <c r="D11" s="208">
        <v>300</v>
      </c>
      <c r="E11" s="207">
        <v>0</v>
      </c>
      <c r="F11" s="207">
        <v>100</v>
      </c>
      <c r="G11" s="207">
        <v>107</v>
      </c>
      <c r="H11" s="207">
        <v>145</v>
      </c>
      <c r="I11" s="207">
        <v>150</v>
      </c>
      <c r="J11" s="207">
        <v>170</v>
      </c>
      <c r="K11" s="207">
        <v>100</v>
      </c>
      <c r="L11" s="207">
        <v>200</v>
      </c>
      <c r="M11" s="197">
        <f t="shared" si="0"/>
        <v>1312</v>
      </c>
      <c r="N11" s="198">
        <f t="shared" si="1"/>
        <v>131.2</v>
      </c>
      <c r="O11" s="198">
        <f t="shared" si="2"/>
        <v>20.19999999999999</v>
      </c>
    </row>
    <row r="12" spans="1:15" s="199" customFormat="1" ht="15">
      <c r="A12" s="200" t="s">
        <v>261</v>
      </c>
      <c r="B12" s="198">
        <v>9</v>
      </c>
      <c r="C12" s="207">
        <v>0</v>
      </c>
      <c r="D12" s="207">
        <v>20</v>
      </c>
      <c r="E12" s="207">
        <v>20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20</v>
      </c>
      <c r="M12" s="197">
        <f t="shared" si="0"/>
        <v>60</v>
      </c>
      <c r="N12" s="198">
        <f t="shared" si="1"/>
        <v>6</v>
      </c>
      <c r="O12" s="198">
        <f t="shared" si="2"/>
        <v>-3</v>
      </c>
    </row>
    <row r="13" spans="1:15" ht="15">
      <c r="A13" s="200" t="s">
        <v>262</v>
      </c>
      <c r="B13" s="198">
        <v>120</v>
      </c>
      <c r="C13" s="207">
        <v>0</v>
      </c>
      <c r="D13" s="207">
        <v>0</v>
      </c>
      <c r="E13" s="207">
        <v>0</v>
      </c>
      <c r="F13" s="207">
        <v>180</v>
      </c>
      <c r="G13" s="207">
        <v>200</v>
      </c>
      <c r="H13" s="207">
        <v>0</v>
      </c>
      <c r="I13" s="207">
        <v>200</v>
      </c>
      <c r="J13" s="207">
        <v>0</v>
      </c>
      <c r="K13" s="207">
        <v>180</v>
      </c>
      <c r="L13" s="207">
        <v>0</v>
      </c>
      <c r="M13" s="197">
        <f t="shared" si="0"/>
        <v>760</v>
      </c>
      <c r="N13" s="198">
        <f t="shared" si="1"/>
        <v>76</v>
      </c>
      <c r="O13" s="198">
        <f t="shared" si="2"/>
        <v>-44</v>
      </c>
    </row>
    <row r="14" spans="1:15" s="199" customFormat="1" ht="15">
      <c r="A14" s="200" t="s">
        <v>263</v>
      </c>
      <c r="B14" s="198">
        <v>42</v>
      </c>
      <c r="C14" s="207">
        <v>79</v>
      </c>
      <c r="D14" s="207">
        <v>0</v>
      </c>
      <c r="E14" s="207">
        <v>132.8</v>
      </c>
      <c r="F14" s="207">
        <v>83</v>
      </c>
      <c r="G14" s="207">
        <v>80</v>
      </c>
      <c r="H14" s="207">
        <v>79</v>
      </c>
      <c r="I14" s="207">
        <v>84</v>
      </c>
      <c r="J14" s="207">
        <v>70</v>
      </c>
      <c r="K14" s="207">
        <v>0</v>
      </c>
      <c r="L14" s="207">
        <v>119</v>
      </c>
      <c r="M14" s="197">
        <f t="shared" si="0"/>
        <v>726.8</v>
      </c>
      <c r="N14" s="198">
        <f t="shared" si="1"/>
        <v>72.67999999999999</v>
      </c>
      <c r="O14" s="198">
        <f t="shared" si="2"/>
        <v>30.679999999999993</v>
      </c>
    </row>
    <row r="15" spans="1:15" ht="15">
      <c r="A15" s="200" t="s">
        <v>264</v>
      </c>
      <c r="B15" s="198">
        <v>21</v>
      </c>
      <c r="C15" s="207">
        <v>0</v>
      </c>
      <c r="D15" s="207">
        <v>0</v>
      </c>
      <c r="E15" s="207">
        <v>0</v>
      </c>
      <c r="F15" s="208">
        <v>90</v>
      </c>
      <c r="G15" s="207">
        <v>37.5</v>
      </c>
      <c r="H15" s="207">
        <v>0</v>
      </c>
      <c r="I15" s="207">
        <v>0</v>
      </c>
      <c r="J15" s="207">
        <v>0</v>
      </c>
      <c r="K15" s="207">
        <v>78</v>
      </c>
      <c r="L15" s="207">
        <v>0</v>
      </c>
      <c r="M15" s="197">
        <f t="shared" si="0"/>
        <v>205.5</v>
      </c>
      <c r="N15" s="198">
        <f t="shared" si="1"/>
        <v>20.55</v>
      </c>
      <c r="O15" s="198">
        <f t="shared" si="2"/>
        <v>-0.4499999999999993</v>
      </c>
    </row>
    <row r="16" spans="1:15" s="199" customFormat="1" ht="15">
      <c r="A16" s="200" t="s">
        <v>265</v>
      </c>
      <c r="B16" s="198">
        <v>34.8</v>
      </c>
      <c r="C16" s="207">
        <v>0</v>
      </c>
      <c r="D16" s="207">
        <v>73</v>
      </c>
      <c r="E16" s="207">
        <v>0</v>
      </c>
      <c r="F16" s="207">
        <v>0</v>
      </c>
      <c r="G16" s="207">
        <v>79</v>
      </c>
      <c r="H16" s="207">
        <v>0</v>
      </c>
      <c r="I16" s="207">
        <v>58</v>
      </c>
      <c r="J16" s="207">
        <v>0</v>
      </c>
      <c r="K16" s="207">
        <v>0</v>
      </c>
      <c r="L16" s="207">
        <v>138</v>
      </c>
      <c r="M16" s="197">
        <f t="shared" si="0"/>
        <v>348</v>
      </c>
      <c r="N16" s="198">
        <f t="shared" si="1"/>
        <v>34.8</v>
      </c>
      <c r="O16" s="198">
        <f t="shared" si="2"/>
        <v>0</v>
      </c>
    </row>
    <row r="17" spans="1:15" ht="15">
      <c r="A17" s="200" t="s">
        <v>266</v>
      </c>
      <c r="B17" s="198">
        <v>8.82</v>
      </c>
      <c r="C17" s="207">
        <v>80</v>
      </c>
      <c r="D17" s="207">
        <v>20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20</v>
      </c>
      <c r="K17" s="207">
        <v>50</v>
      </c>
      <c r="L17" s="207">
        <v>0</v>
      </c>
      <c r="M17" s="197">
        <f t="shared" si="0"/>
        <v>170</v>
      </c>
      <c r="N17" s="198">
        <f t="shared" si="1"/>
        <v>17</v>
      </c>
      <c r="O17" s="198">
        <f t="shared" si="2"/>
        <v>8.18</v>
      </c>
    </row>
    <row r="18" spans="1:15" ht="15">
      <c r="A18" s="200" t="s">
        <v>267</v>
      </c>
      <c r="B18" s="198">
        <v>180</v>
      </c>
      <c r="C18" s="207">
        <v>150</v>
      </c>
      <c r="D18" s="208">
        <f>141.04+100</f>
        <v>241.04</v>
      </c>
      <c r="E18" s="207">
        <f>170</f>
        <v>170</v>
      </c>
      <c r="F18" s="207">
        <f>14+23.7+100</f>
        <v>137.7</v>
      </c>
      <c r="G18" s="207">
        <f>14+26+24</f>
        <v>64</v>
      </c>
      <c r="H18" s="207">
        <f>137+150</f>
        <v>287</v>
      </c>
      <c r="I18" s="207">
        <v>16</v>
      </c>
      <c r="J18" s="207">
        <v>114</v>
      </c>
      <c r="K18" s="207">
        <v>150</v>
      </c>
      <c r="L18" s="207">
        <f>23.7+26</f>
        <v>49.7</v>
      </c>
      <c r="M18" s="197">
        <f t="shared" si="0"/>
        <v>1379.44</v>
      </c>
      <c r="N18" s="198">
        <f t="shared" si="1"/>
        <v>137.94400000000002</v>
      </c>
      <c r="O18" s="198">
        <f t="shared" si="2"/>
        <v>-42.05599999999998</v>
      </c>
    </row>
    <row r="19" spans="1:15" ht="15">
      <c r="A19" s="200" t="s">
        <v>268</v>
      </c>
      <c r="B19" s="198">
        <v>90</v>
      </c>
      <c r="C19" s="207">
        <v>0</v>
      </c>
      <c r="D19" s="207">
        <v>0</v>
      </c>
      <c r="E19" s="207">
        <v>0</v>
      </c>
      <c r="F19" s="207">
        <v>0</v>
      </c>
      <c r="G19" s="207">
        <v>200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197">
        <f t="shared" si="0"/>
        <v>200</v>
      </c>
      <c r="N19" s="198">
        <f t="shared" si="1"/>
        <v>20</v>
      </c>
      <c r="O19" s="198">
        <f t="shared" si="2"/>
        <v>-70</v>
      </c>
    </row>
    <row r="20" spans="1:15" s="199" customFormat="1" ht="15">
      <c r="A20" s="200" t="s">
        <v>269</v>
      </c>
      <c r="B20" s="198">
        <v>30</v>
      </c>
      <c r="C20" s="207">
        <v>0</v>
      </c>
      <c r="D20" s="207">
        <v>0</v>
      </c>
      <c r="E20" s="207">
        <v>142</v>
      </c>
      <c r="F20" s="207">
        <v>0</v>
      </c>
      <c r="G20" s="207">
        <v>0</v>
      </c>
      <c r="H20" s="207">
        <v>0</v>
      </c>
      <c r="I20" s="207">
        <v>0</v>
      </c>
      <c r="J20" s="207">
        <v>75.75</v>
      </c>
      <c r="K20" s="207">
        <v>0</v>
      </c>
      <c r="L20" s="207">
        <v>0</v>
      </c>
      <c r="M20" s="197">
        <f t="shared" si="0"/>
        <v>217.75</v>
      </c>
      <c r="N20" s="198">
        <f t="shared" si="1"/>
        <v>21.775</v>
      </c>
      <c r="O20" s="198">
        <f t="shared" si="2"/>
        <v>-8.225000000000001</v>
      </c>
    </row>
    <row r="21" spans="1:15" ht="15">
      <c r="A21" s="200" t="s">
        <v>270</v>
      </c>
      <c r="B21" s="198">
        <v>5.88</v>
      </c>
      <c r="C21" s="207">
        <v>0</v>
      </c>
      <c r="D21" s="207">
        <v>30</v>
      </c>
      <c r="E21" s="207">
        <v>0</v>
      </c>
      <c r="F21" s="207">
        <v>0</v>
      </c>
      <c r="G21" s="207">
        <v>0</v>
      </c>
      <c r="H21" s="207">
        <v>30</v>
      </c>
      <c r="I21" s="207">
        <v>0</v>
      </c>
      <c r="J21" s="207">
        <v>0</v>
      </c>
      <c r="K21" s="207">
        <v>0</v>
      </c>
      <c r="L21" s="207">
        <v>0</v>
      </c>
      <c r="M21" s="197">
        <f t="shared" si="0"/>
        <v>60</v>
      </c>
      <c r="N21" s="198">
        <f t="shared" si="1"/>
        <v>6</v>
      </c>
      <c r="O21" s="198">
        <f t="shared" si="2"/>
        <v>0.1200000000000001</v>
      </c>
    </row>
    <row r="22" spans="1:15" s="199" customFormat="1" ht="15">
      <c r="A22" s="200" t="s">
        <v>271</v>
      </c>
      <c r="B22" s="198">
        <v>6</v>
      </c>
      <c r="C22" s="207">
        <v>10</v>
      </c>
      <c r="D22" s="207">
        <v>10</v>
      </c>
      <c r="E22" s="207">
        <v>16</v>
      </c>
      <c r="F22" s="207">
        <v>10</v>
      </c>
      <c r="G22" s="207">
        <v>0</v>
      </c>
      <c r="H22" s="207">
        <v>10</v>
      </c>
      <c r="I22" s="207">
        <v>0</v>
      </c>
      <c r="J22" s="207">
        <v>0</v>
      </c>
      <c r="K22" s="207">
        <v>0</v>
      </c>
      <c r="L22" s="207">
        <v>0</v>
      </c>
      <c r="M22" s="197">
        <f t="shared" si="0"/>
        <v>56</v>
      </c>
      <c r="N22" s="198">
        <f t="shared" si="1"/>
        <v>5.6</v>
      </c>
      <c r="O22" s="198">
        <f t="shared" si="2"/>
        <v>-0.40000000000000036</v>
      </c>
    </row>
    <row r="23" spans="1:15" ht="15">
      <c r="A23" s="200" t="s">
        <v>272</v>
      </c>
      <c r="B23" s="198">
        <v>18</v>
      </c>
      <c r="C23" s="207">
        <v>10.25</v>
      </c>
      <c r="D23" s="207">
        <f>5+4+9+6.75</f>
        <v>24.75</v>
      </c>
      <c r="E23" s="207">
        <f>6+5.25+5</f>
        <v>16.25</v>
      </c>
      <c r="F23" s="207">
        <v>10.25</v>
      </c>
      <c r="G23" s="207">
        <f>5+5+5.25+2.5</f>
        <v>17.75</v>
      </c>
      <c r="H23" s="207">
        <v>15</v>
      </c>
      <c r="I23" s="207">
        <f>8.28+3+2+5</f>
        <v>18.28</v>
      </c>
      <c r="J23" s="207">
        <f>11.25+5+8.69</f>
        <v>24.939999999999998</v>
      </c>
      <c r="K23" s="207">
        <f>5+5.25+5</f>
        <v>15.25</v>
      </c>
      <c r="L23" s="207">
        <f>5.25+4.3+5.25</f>
        <v>14.8</v>
      </c>
      <c r="M23" s="197">
        <f t="shared" si="0"/>
        <v>167.52</v>
      </c>
      <c r="N23" s="198">
        <f t="shared" si="1"/>
        <v>16.752000000000002</v>
      </c>
      <c r="O23" s="198">
        <f t="shared" si="2"/>
        <v>-1.2479999999999976</v>
      </c>
    </row>
    <row r="24" spans="1:15" s="199" customFormat="1" ht="15">
      <c r="A24" s="200" t="s">
        <v>273</v>
      </c>
      <c r="B24" s="198">
        <v>9</v>
      </c>
      <c r="C24" s="207">
        <v>10</v>
      </c>
      <c r="D24" s="207">
        <v>0</v>
      </c>
      <c r="E24" s="207">
        <v>8.2</v>
      </c>
      <c r="F24" s="207">
        <v>6</v>
      </c>
      <c r="G24" s="207">
        <f>6+5.1+5+5+8</f>
        <v>29.1</v>
      </c>
      <c r="H24" s="207">
        <v>8.75</v>
      </c>
      <c r="I24" s="207">
        <f>9.87+15+5</f>
        <v>29.869999999999997</v>
      </c>
      <c r="J24" s="207">
        <f>10+3+6</f>
        <v>19</v>
      </c>
      <c r="K24" s="207">
        <v>10</v>
      </c>
      <c r="L24" s="207">
        <f>6+15+6</f>
        <v>27</v>
      </c>
      <c r="M24" s="197">
        <f t="shared" si="0"/>
        <v>147.92</v>
      </c>
      <c r="N24" s="198">
        <f t="shared" si="1"/>
        <v>14.791999999999998</v>
      </c>
      <c r="O24" s="198">
        <f t="shared" si="2"/>
        <v>5.791999999999998</v>
      </c>
    </row>
    <row r="25" spans="1:15" ht="15">
      <c r="A25" s="200" t="s">
        <v>274</v>
      </c>
      <c r="B25" s="198">
        <v>24</v>
      </c>
      <c r="C25" s="207">
        <v>0</v>
      </c>
      <c r="D25" s="207">
        <v>10</v>
      </c>
      <c r="E25" s="207">
        <f>4+53</f>
        <v>57</v>
      </c>
      <c r="F25" s="207">
        <v>0</v>
      </c>
      <c r="G25" s="207">
        <v>0</v>
      </c>
      <c r="H25" s="207">
        <v>53</v>
      </c>
      <c r="I25" s="207">
        <f>6+2+4+16</f>
        <v>28</v>
      </c>
      <c r="J25" s="207">
        <v>37</v>
      </c>
      <c r="K25" s="207">
        <v>0</v>
      </c>
      <c r="L25" s="207">
        <f>4.7</f>
        <v>4.7</v>
      </c>
      <c r="M25" s="197">
        <f t="shared" si="0"/>
        <v>189.7</v>
      </c>
      <c r="N25" s="198">
        <f t="shared" si="1"/>
        <v>18.97</v>
      </c>
      <c r="O25" s="198">
        <f t="shared" si="2"/>
        <v>-5.030000000000001</v>
      </c>
    </row>
    <row r="26" spans="1:15" s="199" customFormat="1" ht="15">
      <c r="A26" s="200" t="s">
        <v>275</v>
      </c>
      <c r="B26" s="198">
        <v>24</v>
      </c>
      <c r="C26" s="207">
        <v>44</v>
      </c>
      <c r="D26" s="207">
        <f>5+15+20</f>
        <v>40</v>
      </c>
      <c r="E26" s="207">
        <v>50</v>
      </c>
      <c r="F26" s="207">
        <v>44</v>
      </c>
      <c r="G26" s="207">
        <v>15</v>
      </c>
      <c r="H26" s="207">
        <v>31</v>
      </c>
      <c r="I26" s="207">
        <v>0</v>
      </c>
      <c r="J26" s="207">
        <f>22.5+20+0.4+24</f>
        <v>66.9</v>
      </c>
      <c r="K26" s="207">
        <v>47</v>
      </c>
      <c r="L26" s="207">
        <v>44</v>
      </c>
      <c r="M26" s="197">
        <f t="shared" si="0"/>
        <v>381.9</v>
      </c>
      <c r="N26" s="198">
        <f t="shared" si="1"/>
        <v>38.19</v>
      </c>
      <c r="O26" s="198">
        <f t="shared" si="2"/>
        <v>14.189999999999998</v>
      </c>
    </row>
    <row r="27" spans="1:15" ht="15">
      <c r="A27" s="200" t="s">
        <v>276</v>
      </c>
      <c r="B27" s="198">
        <v>6</v>
      </c>
      <c r="C27" s="207">
        <v>0</v>
      </c>
      <c r="D27" s="207">
        <v>0</v>
      </c>
      <c r="E27" s="207">
        <v>50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197">
        <f t="shared" si="0"/>
        <v>50</v>
      </c>
      <c r="N27" s="198">
        <f t="shared" si="1"/>
        <v>5</v>
      </c>
      <c r="O27" s="198">
        <f t="shared" si="2"/>
        <v>-1</v>
      </c>
    </row>
    <row r="28" spans="1:15" s="199" customFormat="1" ht="15">
      <c r="A28" s="200" t="s">
        <v>277</v>
      </c>
      <c r="B28" s="198">
        <v>0.24</v>
      </c>
      <c r="C28" s="207">
        <v>0</v>
      </c>
      <c r="D28" s="207">
        <v>1</v>
      </c>
      <c r="E28" s="207">
        <v>0</v>
      </c>
      <c r="F28" s="207">
        <v>0</v>
      </c>
      <c r="G28" s="207">
        <v>1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197">
        <f t="shared" si="0"/>
        <v>2</v>
      </c>
      <c r="N28" s="198">
        <f t="shared" si="1"/>
        <v>0.2</v>
      </c>
      <c r="O28" s="198">
        <f t="shared" si="2"/>
        <v>-0.03999999999999998</v>
      </c>
    </row>
    <row r="29" spans="1:15" ht="15">
      <c r="A29" s="200" t="s">
        <v>278</v>
      </c>
      <c r="B29" s="198">
        <v>0.72</v>
      </c>
      <c r="C29" s="207">
        <v>4</v>
      </c>
      <c r="D29" s="207">
        <v>0</v>
      </c>
      <c r="E29" s="207">
        <v>4</v>
      </c>
      <c r="F29" s="207">
        <v>0</v>
      </c>
      <c r="G29" s="207">
        <v>0</v>
      </c>
      <c r="H29" s="207">
        <v>8</v>
      </c>
      <c r="I29" s="207">
        <v>0</v>
      </c>
      <c r="J29" s="207">
        <v>0</v>
      </c>
      <c r="K29" s="207">
        <v>4</v>
      </c>
      <c r="L29" s="207">
        <v>0</v>
      </c>
      <c r="M29" s="197">
        <f t="shared" si="0"/>
        <v>20</v>
      </c>
      <c r="N29" s="198">
        <f t="shared" si="1"/>
        <v>2</v>
      </c>
      <c r="O29" s="198">
        <f t="shared" si="2"/>
        <v>1.28</v>
      </c>
    </row>
    <row r="30" spans="1:15" s="199" customFormat="1" ht="15">
      <c r="A30" s="200" t="s">
        <v>279</v>
      </c>
      <c r="B30" s="198">
        <v>0.6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197">
        <f t="shared" si="0"/>
        <v>0</v>
      </c>
      <c r="N30" s="198">
        <v>0</v>
      </c>
      <c r="O30" s="198">
        <f t="shared" si="2"/>
        <v>-0.6</v>
      </c>
    </row>
    <row r="31" spans="1:15" ht="15">
      <c r="A31" s="200" t="s">
        <v>280</v>
      </c>
      <c r="B31" s="198">
        <v>3</v>
      </c>
      <c r="C31" s="207">
        <v>3</v>
      </c>
      <c r="D31" s="207">
        <v>3.5</v>
      </c>
      <c r="E31" s="207">
        <v>3</v>
      </c>
      <c r="F31" s="207">
        <v>3</v>
      </c>
      <c r="G31" s="207">
        <f>3.23</f>
        <v>3.23</v>
      </c>
      <c r="H31" s="207">
        <v>3.3</v>
      </c>
      <c r="I31" s="207">
        <v>3.13</v>
      </c>
      <c r="J31" s="207">
        <v>3</v>
      </c>
      <c r="K31" s="207">
        <v>2.5</v>
      </c>
      <c r="L31" s="207">
        <v>3</v>
      </c>
      <c r="M31" s="197">
        <f t="shared" si="0"/>
        <v>30.66</v>
      </c>
      <c r="N31" s="198">
        <f t="shared" si="1"/>
        <v>3.066</v>
      </c>
      <c r="O31" s="198">
        <f t="shared" si="2"/>
        <v>0.06599999999999984</v>
      </c>
    </row>
    <row r="32" spans="1:15" ht="15" hidden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2">
        <f aca="true" t="shared" si="3" ref="M32:M40">SUM(C32:L32)</f>
        <v>0</v>
      </c>
      <c r="N32" s="198">
        <f t="shared" si="1"/>
        <v>0</v>
      </c>
      <c r="O32" s="203"/>
    </row>
    <row r="33" spans="1:15" ht="15" hidden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2">
        <f t="shared" si="3"/>
        <v>0</v>
      </c>
      <c r="N33" s="198">
        <f t="shared" si="1"/>
        <v>0</v>
      </c>
      <c r="O33" s="203"/>
    </row>
    <row r="34" spans="1:15" ht="15" hidden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2">
        <f t="shared" si="3"/>
        <v>0</v>
      </c>
      <c r="N34" s="198">
        <f t="shared" si="1"/>
        <v>0</v>
      </c>
      <c r="O34" s="203"/>
    </row>
    <row r="35" spans="1:14" ht="15" hidden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2">
        <f t="shared" si="3"/>
        <v>0</v>
      </c>
      <c r="N35" s="198">
        <f t="shared" si="1"/>
        <v>0</v>
      </c>
    </row>
    <row r="36" spans="1:14" ht="15" hidden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2">
        <f t="shared" si="3"/>
        <v>0</v>
      </c>
      <c r="N36" s="198">
        <f t="shared" si="1"/>
        <v>0</v>
      </c>
    </row>
    <row r="37" spans="1:14" ht="15" hidden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2">
        <f t="shared" si="3"/>
        <v>0</v>
      </c>
      <c r="N37" s="198">
        <f t="shared" si="1"/>
        <v>0</v>
      </c>
    </row>
    <row r="38" spans="1:14" ht="15" hidden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2">
        <f t="shared" si="3"/>
        <v>0</v>
      </c>
      <c r="N38" s="198">
        <f t="shared" si="1"/>
        <v>0</v>
      </c>
    </row>
    <row r="39" spans="1:14" ht="15" hidden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2">
        <f t="shared" si="3"/>
        <v>0</v>
      </c>
      <c r="N39" s="198">
        <f t="shared" si="1"/>
        <v>0</v>
      </c>
    </row>
    <row r="40" spans="1:14" ht="15" hidden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2">
        <f t="shared" si="3"/>
        <v>0</v>
      </c>
      <c r="N40" s="198">
        <f t="shared" si="1"/>
        <v>0</v>
      </c>
    </row>
    <row r="41" ht="14.25">
      <c r="O41" s="206"/>
    </row>
  </sheetData>
  <sheetProtection/>
  <mergeCells count="2">
    <mergeCell ref="A2:N2"/>
    <mergeCell ref="A1:O1"/>
  </mergeCells>
  <printOptions horizontalCentered="1" verticalCentered="1"/>
  <pageMargins left="0.35433070866141736" right="0.2755905511811024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42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0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14"/>
      <c r="L9" s="15"/>
      <c r="M9" s="14"/>
    </row>
    <row r="10" spans="2:13" ht="16.5" customHeight="1">
      <c r="B10" s="501" t="s">
        <v>7</v>
      </c>
      <c r="C10" s="501"/>
      <c r="D10" s="7"/>
      <c r="E10" s="8"/>
      <c r="F10" s="9"/>
      <c r="G10" s="7"/>
      <c r="H10" s="7"/>
      <c r="I10" s="7"/>
      <c r="J10" s="13"/>
      <c r="K10" s="14"/>
      <c r="L10" s="15"/>
      <c r="M10" s="14"/>
    </row>
    <row r="11" spans="2:13" ht="16.5" customHeight="1">
      <c r="B11" s="501" t="s">
        <v>8</v>
      </c>
      <c r="C11" s="501"/>
      <c r="D11" s="7"/>
      <c r="E11" s="8"/>
      <c r="F11" s="9"/>
      <c r="G11" s="7"/>
      <c r="H11" s="7"/>
      <c r="I11" s="7"/>
      <c r="J11" s="13"/>
      <c r="K11" s="14"/>
      <c r="L11" s="15"/>
      <c r="M11" s="14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14"/>
      <c r="L12" s="15"/>
      <c r="M12" s="14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14"/>
      <c r="L13" s="15"/>
      <c r="M13" s="14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14"/>
      <c r="L14" s="15"/>
      <c r="M14" s="14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14"/>
      <c r="L15" s="15"/>
      <c r="M15" s="14"/>
    </row>
    <row r="16" spans="2:13" ht="16.5" customHeight="1">
      <c r="B16" s="19"/>
      <c r="D16" s="17"/>
      <c r="G16" s="17"/>
      <c r="H16" s="17"/>
      <c r="I16" s="17"/>
      <c r="J16" s="17"/>
      <c r="K16" s="14"/>
      <c r="L16" s="15"/>
      <c r="M16" s="14"/>
    </row>
    <row r="17" spans="2:13" ht="16.5" customHeight="1">
      <c r="B17" s="20"/>
      <c r="D17" s="17"/>
      <c r="G17" s="17"/>
      <c r="H17" s="17"/>
      <c r="I17" s="17"/>
      <c r="J17" s="17"/>
      <c r="K17" s="14"/>
      <c r="L17" s="15"/>
      <c r="M17" s="14"/>
    </row>
    <row r="18" spans="2:13" ht="16.5" customHeight="1">
      <c r="B18" s="20"/>
      <c r="D18" s="17"/>
      <c r="G18" s="17"/>
      <c r="H18" s="17"/>
      <c r="I18" s="17"/>
      <c r="J18" s="17"/>
      <c r="K18" s="14"/>
      <c r="L18" s="15"/>
      <c r="M18" s="14"/>
    </row>
    <row r="19" spans="2:13" ht="16.5" customHeight="1" thickBot="1">
      <c r="B19" s="20"/>
      <c r="D19" s="17"/>
      <c r="G19" s="17"/>
      <c r="H19" s="17"/>
      <c r="I19" s="17"/>
      <c r="J19" s="17"/>
      <c r="K19" s="14"/>
      <c r="L19" s="15"/>
      <c r="M19" s="14"/>
    </row>
    <row r="20" spans="1:13" ht="16.5" customHeight="1">
      <c r="A20" s="504"/>
      <c r="B20" s="504" t="s">
        <v>11</v>
      </c>
      <c r="C20" s="100" t="s">
        <v>12</v>
      </c>
      <c r="D20" s="506" t="s">
        <v>13</v>
      </c>
      <c r="E20" s="502" t="s">
        <v>14</v>
      </c>
      <c r="F20" s="506" t="s">
        <v>200</v>
      </c>
      <c r="G20" s="506" t="s">
        <v>15</v>
      </c>
      <c r="H20" s="506"/>
      <c r="I20" s="506"/>
      <c r="J20" s="101" t="s">
        <v>16</v>
      </c>
      <c r="K20" s="14"/>
      <c r="L20" s="15"/>
      <c r="M20" s="14"/>
    </row>
    <row r="21" spans="1:13" ht="15.75" thickBot="1">
      <c r="A21" s="505"/>
      <c r="B21" s="505"/>
      <c r="C21" s="126" t="s">
        <v>17</v>
      </c>
      <c r="D21" s="507"/>
      <c r="E21" s="503"/>
      <c r="F21" s="507"/>
      <c r="G21" s="127" t="s">
        <v>18</v>
      </c>
      <c r="H21" s="127" t="s">
        <v>19</v>
      </c>
      <c r="I21" s="127" t="s">
        <v>20</v>
      </c>
      <c r="J21" s="127" t="s">
        <v>21</v>
      </c>
      <c r="K21" s="14"/>
      <c r="L21" s="15"/>
      <c r="M21" s="14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14"/>
      <c r="L22" s="15"/>
      <c r="M22" s="14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14"/>
      <c r="L23" s="15"/>
      <c r="M23" s="14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14"/>
      <c r="L24" s="15"/>
      <c r="M24" s="14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14"/>
      <c r="L25" s="15"/>
      <c r="M25" s="14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14"/>
      <c r="L26" s="15"/>
      <c r="M26" s="14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9">
        <f>J28*M28/L29</f>
        <v>26.393274476595746</v>
      </c>
      <c r="L28" s="15"/>
      <c r="M28" s="14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14"/>
      <c r="L29" s="15">
        <v>2350</v>
      </c>
      <c r="M29" s="14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14"/>
      <c r="L30" s="15"/>
      <c r="M30" s="14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14"/>
      <c r="L31" s="15"/>
      <c r="M31" s="14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14"/>
      <c r="L32" s="15"/>
      <c r="M32" s="14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14"/>
      <c r="L33" s="15"/>
      <c r="M33" s="14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14"/>
      <c r="L34" s="15"/>
      <c r="M34" s="14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9">
        <f>J35*M28/L29</f>
        <v>26.35668085106383</v>
      </c>
      <c r="L35" s="15"/>
      <c r="M35" s="14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9">
        <f>J36*M28/L29</f>
        <v>52.74995532765958</v>
      </c>
      <c r="L36" s="15"/>
      <c r="M36" s="14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14"/>
      <c r="L37" s="15"/>
      <c r="M37" s="14"/>
    </row>
    <row r="38" spans="2:13" ht="16.5" customHeight="1">
      <c r="B38" s="10"/>
      <c r="C38" s="7"/>
      <c r="D38" s="7"/>
      <c r="E38" s="8"/>
      <c r="F38" s="9"/>
      <c r="G38" s="7"/>
      <c r="H38" s="36"/>
      <c r="I38" s="36"/>
      <c r="J38" s="13"/>
      <c r="K38" s="14"/>
      <c r="L38" s="15"/>
      <c r="M38" s="14"/>
    </row>
    <row r="39" spans="2:13" ht="16.5" customHeight="1">
      <c r="B39" s="10"/>
      <c r="C39" s="7"/>
      <c r="D39" s="7"/>
      <c r="E39" s="8"/>
      <c r="F39" s="9"/>
      <c r="G39" s="7"/>
      <c r="H39" s="36"/>
      <c r="I39" s="36"/>
      <c r="J39" s="13"/>
      <c r="K39" s="14"/>
      <c r="L39" s="15"/>
      <c r="M39" s="14"/>
    </row>
    <row r="40" spans="2:13" ht="16.5" customHeight="1">
      <c r="B40" s="10"/>
      <c r="C40" s="7"/>
      <c r="D40" s="7"/>
      <c r="E40" s="8"/>
      <c r="F40" s="9"/>
      <c r="G40" s="7"/>
      <c r="H40" s="36"/>
      <c r="I40" s="36"/>
      <c r="J40" s="13"/>
      <c r="K40" s="14"/>
      <c r="L40" s="15"/>
      <c r="M40" s="14"/>
    </row>
    <row r="41" spans="2:13" ht="16.5" customHeight="1">
      <c r="B41" s="10"/>
      <c r="C41" s="7"/>
      <c r="D41" s="7"/>
      <c r="E41" s="8"/>
      <c r="F41" s="9"/>
      <c r="G41" s="7"/>
      <c r="H41" s="36"/>
      <c r="I41" s="36"/>
      <c r="J41" s="13"/>
      <c r="K41" s="14"/>
      <c r="L41" s="15"/>
      <c r="M41" s="14"/>
    </row>
    <row r="42" spans="2:13" ht="16.5" customHeight="1">
      <c r="B42" s="10"/>
      <c r="C42" s="7"/>
      <c r="D42" s="7"/>
      <c r="E42" s="8"/>
      <c r="F42" s="9"/>
      <c r="G42" s="7"/>
      <c r="H42" s="36"/>
      <c r="I42" s="36"/>
      <c r="J42" s="13"/>
      <c r="K42" s="14"/>
      <c r="L42" s="15"/>
      <c r="M42" s="14"/>
    </row>
    <row r="43" spans="2:13" ht="16.5" customHeight="1">
      <c r="B43" s="10"/>
      <c r="C43" s="7"/>
      <c r="D43" s="7"/>
      <c r="E43" s="8"/>
      <c r="F43" s="9"/>
      <c r="G43" s="7"/>
      <c r="H43" s="36"/>
      <c r="I43" s="36"/>
      <c r="J43" s="13"/>
      <c r="K43" s="14"/>
      <c r="L43" s="15"/>
      <c r="M43" s="14"/>
    </row>
    <row r="44" spans="2:13" ht="16.5" customHeight="1">
      <c r="B44" s="10"/>
      <c r="C44" s="7"/>
      <c r="D44" s="7"/>
      <c r="E44" s="8"/>
      <c r="F44" s="9"/>
      <c r="G44" s="7"/>
      <c r="H44" s="36"/>
      <c r="I44" s="36"/>
      <c r="J44" s="13"/>
      <c r="K44" s="14"/>
      <c r="L44" s="15"/>
      <c r="M44" s="14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14"/>
      <c r="L45" s="15"/>
      <c r="M45" s="14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14"/>
      <c r="L46" s="15"/>
      <c r="M46" s="14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14"/>
      <c r="L47" s="15"/>
      <c r="M47" s="14"/>
    </row>
    <row r="48" spans="2:13" ht="16.5" customHeight="1">
      <c r="B48" s="19"/>
      <c r="K48" s="14"/>
      <c r="L48" s="15"/>
      <c r="M48" s="14"/>
    </row>
    <row r="49" spans="11:13" ht="16.5" customHeight="1">
      <c r="K49" s="29"/>
      <c r="L49" s="15"/>
      <c r="M49" s="14"/>
    </row>
    <row r="50" spans="11:13" ht="16.5" customHeight="1">
      <c r="K50" s="29"/>
      <c r="L50" s="15"/>
      <c r="M50" s="14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14"/>
      <c r="L51" s="15"/>
      <c r="M51" s="14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14"/>
      <c r="L52" s="15"/>
      <c r="M52" s="14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14"/>
      <c r="L53" s="15"/>
      <c r="M53" s="14"/>
    </row>
    <row r="54" spans="1:13" ht="16.5" customHeight="1" thickBot="1">
      <c r="A54" s="489"/>
      <c r="B54" s="489" t="s">
        <v>11</v>
      </c>
      <c r="C54" s="21" t="s">
        <v>12</v>
      </c>
      <c r="D54" s="494" t="s">
        <v>13</v>
      </c>
      <c r="E54" s="496" t="s">
        <v>14</v>
      </c>
      <c r="F54" s="494" t="s">
        <v>200</v>
      </c>
      <c r="G54" s="498" t="s">
        <v>15</v>
      </c>
      <c r="H54" s="499"/>
      <c r="I54" s="500"/>
      <c r="J54" s="21" t="s">
        <v>16</v>
      </c>
      <c r="K54" s="14"/>
      <c r="L54" s="15"/>
      <c r="M54" s="14"/>
    </row>
    <row r="55" spans="1:13" ht="15.75" thickBot="1">
      <c r="A55" s="490"/>
      <c r="B55" s="490"/>
      <c r="C55" s="23" t="s">
        <v>17</v>
      </c>
      <c r="D55" s="495"/>
      <c r="E55" s="497"/>
      <c r="F55" s="495"/>
      <c r="G55" s="23" t="s">
        <v>18</v>
      </c>
      <c r="H55" s="23" t="s">
        <v>19</v>
      </c>
      <c r="I55" s="23" t="s">
        <v>20</v>
      </c>
      <c r="J55" s="23" t="s">
        <v>21</v>
      </c>
      <c r="K55" s="14"/>
      <c r="L55" s="15"/>
      <c r="M55" s="14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14"/>
      <c r="L56" s="15"/>
      <c r="M56" s="14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14"/>
      <c r="L57" s="15"/>
      <c r="M57" s="14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14"/>
      <c r="L58" s="15"/>
      <c r="M58" s="14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14"/>
      <c r="L59" s="15"/>
      <c r="M59" s="14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14"/>
      <c r="L60" s="15"/>
      <c r="M60" s="14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14"/>
      <c r="L61" s="15"/>
      <c r="M61" s="14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9">
        <f>J62*M62/L63</f>
        <v>23.24149259574468</v>
      </c>
      <c r="L62" s="15"/>
      <c r="M62" s="14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14"/>
      <c r="L63" s="15">
        <v>2350</v>
      </c>
      <c r="M63" s="14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69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14"/>
      <c r="L64" s="15"/>
      <c r="M64" s="14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14"/>
      <c r="L65" s="15"/>
      <c r="M65" s="14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14"/>
      <c r="L66" s="15"/>
      <c r="M66" s="14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14"/>
      <c r="L67" s="15"/>
      <c r="M67" s="14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14"/>
      <c r="L68" s="15"/>
      <c r="M68" s="14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14"/>
      <c r="L69" s="15"/>
      <c r="M69" s="14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>D70*E70%+D70</f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14"/>
      <c r="L70" s="15"/>
      <c r="M70" s="14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9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14"/>
      <c r="L72" s="15"/>
      <c r="M72" s="14"/>
    </row>
    <row r="73" spans="11:13" ht="16.5" customHeight="1">
      <c r="K73" s="14"/>
      <c r="L73" s="15"/>
      <c r="M73" s="14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14"/>
      <c r="L74" s="15"/>
      <c r="M74" s="14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14"/>
      <c r="L75" s="15"/>
      <c r="M75" s="14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14"/>
      <c r="L76" s="15"/>
      <c r="M76" s="14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14"/>
      <c r="L77" s="15"/>
      <c r="M77" s="14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14"/>
      <c r="L78" s="15"/>
      <c r="M78" s="14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14"/>
      <c r="L79" s="15"/>
      <c r="M79" s="14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14"/>
      <c r="L80" s="15"/>
      <c r="M80" s="14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14"/>
      <c r="L81" s="15"/>
      <c r="M81" s="14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14"/>
      <c r="L82" s="15"/>
      <c r="M82" s="14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14"/>
      <c r="L83" s="15"/>
      <c r="M83" s="14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14"/>
      <c r="L84" s="15"/>
      <c r="M84" s="14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14"/>
      <c r="L85" s="15"/>
      <c r="M85" s="14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14"/>
      <c r="L86" s="15"/>
      <c r="M86" s="14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14"/>
      <c r="L87" s="15"/>
      <c r="M87" s="14"/>
    </row>
    <row r="88" spans="2:13" ht="16.5" customHeight="1">
      <c r="B88" s="19"/>
      <c r="K88" s="14"/>
      <c r="L88" s="15"/>
      <c r="M88" s="14"/>
    </row>
    <row r="89" spans="2:13" ht="16.5" customHeight="1">
      <c r="B89" s="20"/>
      <c r="K89" s="14"/>
      <c r="L89" s="15"/>
      <c r="M89" s="14"/>
    </row>
    <row r="90" spans="2:13" ht="16.5" customHeight="1">
      <c r="B90" s="20"/>
      <c r="K90" s="14"/>
      <c r="L90" s="15"/>
      <c r="M90" s="14"/>
    </row>
    <row r="91" spans="2:13" ht="16.5" customHeight="1" thickBot="1">
      <c r="B91" s="20"/>
      <c r="K91" s="14"/>
      <c r="L91" s="15"/>
      <c r="M91" s="14"/>
    </row>
    <row r="92" spans="1:13" ht="16.5" customHeight="1" thickBot="1">
      <c r="A92" s="489"/>
      <c r="B92" s="489" t="s">
        <v>11</v>
      </c>
      <c r="C92" s="21" t="s">
        <v>12</v>
      </c>
      <c r="D92" s="494" t="s">
        <v>13</v>
      </c>
      <c r="E92" s="496" t="s">
        <v>14</v>
      </c>
      <c r="F92" s="494" t="s">
        <v>200</v>
      </c>
      <c r="G92" s="498" t="s">
        <v>15</v>
      </c>
      <c r="H92" s="499"/>
      <c r="I92" s="500"/>
      <c r="J92" s="21" t="s">
        <v>16</v>
      </c>
      <c r="K92" s="14"/>
      <c r="L92" s="15"/>
      <c r="M92" s="14"/>
    </row>
    <row r="93" spans="1:13" ht="28.5" customHeight="1" thickBot="1">
      <c r="A93" s="490"/>
      <c r="B93" s="490"/>
      <c r="C93" s="23" t="s">
        <v>17</v>
      </c>
      <c r="D93" s="495"/>
      <c r="E93" s="497"/>
      <c r="F93" s="495"/>
      <c r="G93" s="23" t="s">
        <v>18</v>
      </c>
      <c r="H93" s="23" t="s">
        <v>19</v>
      </c>
      <c r="I93" s="23" t="s">
        <v>20</v>
      </c>
      <c r="J93" s="23" t="s">
        <v>21</v>
      </c>
      <c r="K93" s="14"/>
      <c r="L93" s="15"/>
      <c r="M93" s="14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14"/>
      <c r="L94" s="15"/>
      <c r="M94" s="14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14"/>
      <c r="L95" s="15"/>
      <c r="M95" s="14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14"/>
      <c r="L96" s="15"/>
      <c r="M96" s="14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14"/>
      <c r="L97" s="15"/>
      <c r="M97" s="14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14"/>
      <c r="L98" s="15"/>
      <c r="M98" s="14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9">
        <f>J99*M99/L100</f>
        <v>24.400146382978726</v>
      </c>
      <c r="L99" s="15"/>
      <c r="M99" s="14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14"/>
      <c r="L100" s="15">
        <v>2350</v>
      </c>
      <c r="M100" s="14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14"/>
      <c r="L101" s="15"/>
      <c r="M101" s="14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aca="true" t="shared" si="1" ref="F102:F107">D102*E102%+D102</f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14"/>
      <c r="L102" s="15"/>
      <c r="M102" s="14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44"/>
      <c r="L103" s="15"/>
      <c r="M103" s="14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>D104*E104%+D104</f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45"/>
      <c r="L104" s="46"/>
      <c r="M104" s="45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14"/>
      <c r="L105" s="15"/>
      <c r="M105" s="14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14"/>
      <c r="L106" s="15"/>
      <c r="M106" s="14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14"/>
      <c r="L107" s="15"/>
      <c r="M107" s="14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9">
        <f>J108*M99/L100</f>
        <v>38.587659574468084</v>
      </c>
      <c r="L108" s="48" t="s">
        <v>74</v>
      </c>
      <c r="M108" s="14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9">
        <f>J109*M99/L100</f>
        <v>62.98780595744682</v>
      </c>
      <c r="L109" s="15"/>
      <c r="M109" s="14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14"/>
      <c r="L110" s="15"/>
      <c r="M110" s="14"/>
    </row>
    <row r="111" spans="11:13" ht="16.5" customHeight="1">
      <c r="K111" s="14"/>
      <c r="L111" s="15"/>
      <c r="M111" s="14"/>
    </row>
    <row r="112" spans="11:13" ht="16.5" customHeight="1">
      <c r="K112" s="14"/>
      <c r="L112" s="15"/>
      <c r="M112" s="14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14"/>
      <c r="L113" s="15"/>
      <c r="M113" s="14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14"/>
      <c r="L114" s="15"/>
      <c r="M114" s="14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14"/>
      <c r="L115" s="15"/>
      <c r="M115" s="14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14"/>
      <c r="L116" s="15"/>
      <c r="M116" s="14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14"/>
      <c r="L117" s="15"/>
      <c r="M117" s="14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14"/>
      <c r="L118" s="15"/>
      <c r="M118" s="14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14"/>
      <c r="L119" s="15"/>
      <c r="M119" s="14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14"/>
      <c r="L120" s="15"/>
      <c r="M120" s="14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14"/>
      <c r="L121" s="15"/>
      <c r="M121" s="14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14"/>
      <c r="L122" s="15"/>
      <c r="M122" s="14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14"/>
      <c r="L123" s="15"/>
      <c r="M123" s="14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14"/>
      <c r="L124" s="15"/>
      <c r="M124" s="14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489"/>
      <c r="B132" s="489" t="s">
        <v>11</v>
      </c>
      <c r="C132" s="21" t="s">
        <v>12</v>
      </c>
      <c r="D132" s="494" t="s">
        <v>13</v>
      </c>
      <c r="E132" s="496" t="s">
        <v>14</v>
      </c>
      <c r="F132" s="494" t="s">
        <v>200</v>
      </c>
      <c r="G132" s="498" t="s">
        <v>15</v>
      </c>
      <c r="H132" s="499"/>
      <c r="I132" s="500"/>
      <c r="J132" s="21" t="s">
        <v>16</v>
      </c>
    </row>
    <row r="133" spans="1:10" ht="24.75" customHeight="1" thickBot="1">
      <c r="A133" s="490"/>
      <c r="B133" s="490"/>
      <c r="C133" s="23" t="s">
        <v>17</v>
      </c>
      <c r="D133" s="495"/>
      <c r="E133" s="497"/>
      <c r="F133" s="495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14"/>
      <c r="L137" s="15"/>
      <c r="M137" s="14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14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14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14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44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14"/>
      <c r="L145" s="15"/>
      <c r="M145" s="14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14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 aca="true" t="shared" si="2" ref="D148:J148">D140+D147</f>
        <v>82.80000000000001</v>
      </c>
      <c r="E148" s="33"/>
      <c r="F148" s="33">
        <f t="shared" si="2"/>
        <v>107.64</v>
      </c>
      <c r="G148" s="33">
        <f t="shared" si="2"/>
        <v>41.46</v>
      </c>
      <c r="H148" s="33">
        <f t="shared" si="2"/>
        <v>53.35</v>
      </c>
      <c r="I148" s="33">
        <f t="shared" si="2"/>
        <v>176.32</v>
      </c>
      <c r="J148" s="33">
        <f t="shared" si="2"/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489"/>
      <c r="B172" s="489" t="s">
        <v>11</v>
      </c>
      <c r="C172" s="21" t="s">
        <v>12</v>
      </c>
      <c r="D172" s="494" t="s">
        <v>13</v>
      </c>
      <c r="E172" s="496" t="s">
        <v>14</v>
      </c>
      <c r="F172" s="494" t="s">
        <v>200</v>
      </c>
      <c r="G172" s="61" t="s">
        <v>15</v>
      </c>
      <c r="H172" s="62"/>
      <c r="I172" s="63"/>
      <c r="J172" s="21" t="s">
        <v>16</v>
      </c>
    </row>
    <row r="173" spans="1:10" ht="15.75" thickBot="1">
      <c r="A173" s="490"/>
      <c r="B173" s="490"/>
      <c r="C173" s="23" t="s">
        <v>17</v>
      </c>
      <c r="D173" s="495"/>
      <c r="E173" s="497"/>
      <c r="F173" s="495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3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3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14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3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14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>D185*E185%+D185</f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44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3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14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3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14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489"/>
      <c r="B212" s="489" t="s">
        <v>11</v>
      </c>
      <c r="C212" s="21" t="s">
        <v>12</v>
      </c>
      <c r="D212" s="494" t="s">
        <v>13</v>
      </c>
      <c r="E212" s="496" t="s">
        <v>14</v>
      </c>
      <c r="F212" s="494" t="s">
        <v>200</v>
      </c>
      <c r="G212" s="491" t="s">
        <v>15</v>
      </c>
      <c r="H212" s="492"/>
      <c r="I212" s="493"/>
      <c r="J212" s="22" t="s">
        <v>16</v>
      </c>
    </row>
    <row r="213" spans="1:10" ht="16.5" customHeight="1" thickBot="1">
      <c r="A213" s="490"/>
      <c r="B213" s="490"/>
      <c r="C213" s="23" t="s">
        <v>17</v>
      </c>
      <c r="D213" s="495"/>
      <c r="E213" s="497"/>
      <c r="F213" s="495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4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4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4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4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4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4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5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5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5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5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5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5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14"/>
      <c r="L229" s="15"/>
      <c r="M229" s="14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15"/>
      <c r="M233" s="14"/>
      <c r="N233" s="14"/>
      <c r="O233" s="14"/>
    </row>
    <row r="234" spans="11:15" ht="16.5" customHeight="1">
      <c r="K234" s="14"/>
      <c r="L234" s="25">
        <v>2350</v>
      </c>
      <c r="M234" s="14"/>
      <c r="N234" s="14"/>
      <c r="O234" s="14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14"/>
      <c r="L235" s="15"/>
      <c r="M235" s="14"/>
      <c r="N235" s="14"/>
      <c r="O235" s="14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44"/>
      <c r="L236" s="15"/>
      <c r="M236" s="14"/>
      <c r="N236" s="14"/>
      <c r="O236" s="14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14"/>
      <c r="L237" s="15"/>
      <c r="M237" s="14"/>
      <c r="N237" s="14"/>
      <c r="O237" s="14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15"/>
      <c r="M238" s="14"/>
      <c r="N238" s="14"/>
      <c r="O238" s="14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15"/>
      <c r="M239" s="14"/>
      <c r="N239" s="14"/>
      <c r="O239" s="14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15"/>
      <c r="M240" s="14"/>
      <c r="N240" s="14"/>
      <c r="O240" s="14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15"/>
      <c r="M241" s="14"/>
      <c r="N241" s="14"/>
      <c r="O241" s="14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15"/>
      <c r="M242" s="14"/>
      <c r="N242" s="14"/>
      <c r="O242" s="14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15"/>
      <c r="M243" s="14"/>
      <c r="N243" s="14"/>
      <c r="O243" s="14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15"/>
      <c r="M244" s="14"/>
      <c r="N244" s="14"/>
      <c r="O244" s="14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489"/>
      <c r="B252" s="489" t="s">
        <v>11</v>
      </c>
      <c r="C252" s="21" t="s">
        <v>12</v>
      </c>
      <c r="D252" s="494" t="s">
        <v>13</v>
      </c>
      <c r="E252" s="496" t="s">
        <v>14</v>
      </c>
      <c r="F252" s="494" t="s">
        <v>200</v>
      </c>
      <c r="G252" s="491" t="s">
        <v>15</v>
      </c>
      <c r="H252" s="492"/>
      <c r="I252" s="493"/>
      <c r="J252" s="22" t="s">
        <v>16</v>
      </c>
    </row>
    <row r="253" spans="1:10" ht="16.5" customHeight="1" thickBot="1">
      <c r="A253" s="490"/>
      <c r="B253" s="490"/>
      <c r="C253" s="23" t="s">
        <v>17</v>
      </c>
      <c r="D253" s="495"/>
      <c r="E253" s="497"/>
      <c r="F253" s="495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489"/>
      <c r="B290" s="489" t="s">
        <v>11</v>
      </c>
      <c r="C290" s="21" t="s">
        <v>12</v>
      </c>
      <c r="D290" s="494" t="s">
        <v>13</v>
      </c>
      <c r="E290" s="496" t="s">
        <v>14</v>
      </c>
      <c r="F290" s="494" t="s">
        <v>200</v>
      </c>
      <c r="G290" s="498" t="s">
        <v>15</v>
      </c>
      <c r="H290" s="499"/>
      <c r="I290" s="500"/>
      <c r="J290" s="21" t="s">
        <v>16</v>
      </c>
      <c r="L290" s="6"/>
    </row>
    <row r="291" spans="1:12" ht="16.5" customHeight="1" thickBot="1">
      <c r="A291" s="490"/>
      <c r="B291" s="490"/>
      <c r="C291" s="23" t="s">
        <v>17</v>
      </c>
      <c r="D291" s="495"/>
      <c r="E291" s="497"/>
      <c r="F291" s="495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6" ref="D297:J297">SUM(D293:D296)</f>
        <v>32.480000000000004</v>
      </c>
      <c r="E297" s="157">
        <f t="shared" si="6"/>
        <v>120</v>
      </c>
      <c r="F297" s="157">
        <f t="shared" si="6"/>
        <v>42.224000000000004</v>
      </c>
      <c r="G297" s="157">
        <f t="shared" si="6"/>
        <v>23.54</v>
      </c>
      <c r="H297" s="157">
        <f t="shared" si="6"/>
        <v>21.42</v>
      </c>
      <c r="I297" s="157">
        <f t="shared" si="6"/>
        <v>58.900000000000006</v>
      </c>
      <c r="J297" s="157">
        <f t="shared" si="6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7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>D300*E300%+D300</f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7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7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7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7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7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14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8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489"/>
      <c r="B332" s="489" t="s">
        <v>11</v>
      </c>
      <c r="C332" s="21" t="s">
        <v>12</v>
      </c>
      <c r="D332" s="494" t="s">
        <v>13</v>
      </c>
      <c r="E332" s="496" t="s">
        <v>14</v>
      </c>
      <c r="F332" s="494" t="s">
        <v>200</v>
      </c>
      <c r="G332" s="491" t="s">
        <v>15</v>
      </c>
      <c r="H332" s="492"/>
      <c r="I332" s="493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490"/>
      <c r="B333" s="490"/>
      <c r="C333" s="23" t="s">
        <v>17</v>
      </c>
      <c r="D333" s="495"/>
      <c r="E333" s="497"/>
      <c r="F333" s="495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 aca="true" t="shared" si="8" ref="D338:I338">SUM(D335:D337)</f>
        <v>37.849999999999994</v>
      </c>
      <c r="E338" s="157"/>
      <c r="F338" s="157">
        <f t="shared" si="8"/>
        <v>49.205</v>
      </c>
      <c r="G338" s="157">
        <f t="shared" si="8"/>
        <v>20.1</v>
      </c>
      <c r="H338" s="157">
        <f t="shared" si="8"/>
        <v>25.950000000000003</v>
      </c>
      <c r="I338" s="157">
        <f t="shared" si="8"/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9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9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9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9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9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9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14" t="s">
        <v>143</v>
      </c>
      <c r="L350" s="15"/>
      <c r="M350" s="14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14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14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14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14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14"/>
      <c r="L357" s="15"/>
      <c r="M357" s="14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14"/>
      <c r="L358" s="15"/>
      <c r="M358" s="14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14"/>
      <c r="L359" s="15"/>
      <c r="M359" s="14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14"/>
      <c r="L360" s="15"/>
      <c r="M360" s="14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14"/>
      <c r="L361" s="15"/>
      <c r="M361" s="14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14"/>
      <c r="L362" s="15"/>
      <c r="M362" s="14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14"/>
      <c r="L363" s="15"/>
      <c r="M363" s="14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1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1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489"/>
      <c r="B372" s="489" t="s">
        <v>11</v>
      </c>
      <c r="C372" s="21" t="s">
        <v>12</v>
      </c>
      <c r="D372" s="494" t="s">
        <v>13</v>
      </c>
      <c r="E372" s="496" t="s">
        <v>14</v>
      </c>
      <c r="F372" s="494" t="s">
        <v>200</v>
      </c>
      <c r="G372" s="491" t="s">
        <v>15</v>
      </c>
      <c r="H372" s="492"/>
      <c r="I372" s="493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490"/>
      <c r="B373" s="490"/>
      <c r="C373" s="23" t="s">
        <v>17</v>
      </c>
      <c r="D373" s="495"/>
      <c r="E373" s="497"/>
      <c r="F373" s="495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10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10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10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10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10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10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8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8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14"/>
      <c r="L405" s="15"/>
      <c r="M405" s="14"/>
    </row>
    <row r="406" spans="2:11" ht="18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489"/>
      <c r="B412" s="489" t="s">
        <v>11</v>
      </c>
      <c r="C412" s="21" t="s">
        <v>12</v>
      </c>
      <c r="D412" s="494" t="s">
        <v>13</v>
      </c>
      <c r="E412" s="496" t="s">
        <v>14</v>
      </c>
      <c r="F412" s="494" t="s">
        <v>200</v>
      </c>
      <c r="G412" s="491" t="s">
        <v>15</v>
      </c>
      <c r="H412" s="492"/>
      <c r="I412" s="493"/>
      <c r="J412" s="22" t="s">
        <v>16</v>
      </c>
    </row>
    <row r="413" spans="1:10" ht="16.5" customHeight="1" thickBot="1">
      <c r="A413" s="490"/>
      <c r="B413" s="490"/>
      <c r="C413" s="23" t="s">
        <v>17</v>
      </c>
      <c r="D413" s="495"/>
      <c r="E413" s="497"/>
      <c r="F413" s="495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11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11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11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11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11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11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2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2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2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2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2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2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487"/>
      <c r="C432" s="487"/>
      <c r="D432" s="39"/>
      <c r="E432" s="80"/>
      <c r="F432" s="39"/>
      <c r="G432" s="39"/>
      <c r="H432" s="81"/>
      <c r="I432" s="488"/>
      <c r="J432" s="488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489"/>
      <c r="B454" s="489" t="s">
        <v>11</v>
      </c>
      <c r="C454" s="21" t="s">
        <v>12</v>
      </c>
      <c r="D454" s="494" t="s">
        <v>13</v>
      </c>
      <c r="E454" s="496" t="s">
        <v>14</v>
      </c>
      <c r="F454" s="494" t="s">
        <v>200</v>
      </c>
      <c r="G454" s="491" t="s">
        <v>15</v>
      </c>
      <c r="H454" s="492"/>
      <c r="I454" s="493"/>
      <c r="J454" s="22" t="s">
        <v>16</v>
      </c>
      <c r="L454" s="6"/>
    </row>
    <row r="455" spans="1:12" ht="16.5" customHeight="1" thickBot="1">
      <c r="A455" s="490"/>
      <c r="B455" s="490"/>
      <c r="C455" s="23" t="s">
        <v>17</v>
      </c>
      <c r="D455" s="495"/>
      <c r="E455" s="497"/>
      <c r="F455" s="495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18.7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18.7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487" t="s">
        <v>286</v>
      </c>
      <c r="B477" s="487"/>
      <c r="C477" s="39"/>
      <c r="D477" s="80"/>
      <c r="E477" s="39"/>
      <c r="F477" s="39"/>
      <c r="G477" s="81"/>
      <c r="H477" s="488" t="s">
        <v>178</v>
      </c>
      <c r="I477" s="488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B54:B55"/>
    <mergeCell ref="G54:I54"/>
    <mergeCell ref="D20:D21"/>
    <mergeCell ref="F20:F21"/>
    <mergeCell ref="G20:I20"/>
    <mergeCell ref="F54:F55"/>
    <mergeCell ref="B10:C10"/>
    <mergeCell ref="B11:C11"/>
    <mergeCell ref="D54:D55"/>
    <mergeCell ref="E54:E55"/>
    <mergeCell ref="E20:E21"/>
    <mergeCell ref="A132:A133"/>
    <mergeCell ref="B132:B133"/>
    <mergeCell ref="A20:A21"/>
    <mergeCell ref="B20:B21"/>
    <mergeCell ref="A54:A55"/>
    <mergeCell ref="B212:B213"/>
    <mergeCell ref="D212:D213"/>
    <mergeCell ref="G132:I132"/>
    <mergeCell ref="F92:F93"/>
    <mergeCell ref="G92:I92"/>
    <mergeCell ref="F132:F133"/>
    <mergeCell ref="D132:D133"/>
    <mergeCell ref="G212:I212"/>
    <mergeCell ref="A172:A173"/>
    <mergeCell ref="B172:B173"/>
    <mergeCell ref="D172:D173"/>
    <mergeCell ref="E172:E173"/>
    <mergeCell ref="F172:F173"/>
    <mergeCell ref="A92:A93"/>
    <mergeCell ref="B92:B93"/>
    <mergeCell ref="D92:D93"/>
    <mergeCell ref="E92:E93"/>
    <mergeCell ref="E132:E133"/>
    <mergeCell ref="A252:A253"/>
    <mergeCell ref="B252:B253"/>
    <mergeCell ref="D252:D253"/>
    <mergeCell ref="E252:E253"/>
    <mergeCell ref="F252:F253"/>
    <mergeCell ref="G252:I252"/>
    <mergeCell ref="A212:A213"/>
    <mergeCell ref="F212:F213"/>
    <mergeCell ref="E212:E2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B332:B333"/>
    <mergeCell ref="E332:E333"/>
    <mergeCell ref="F332:F333"/>
    <mergeCell ref="D454:D455"/>
    <mergeCell ref="E454:E455"/>
    <mergeCell ref="F454:F455"/>
    <mergeCell ref="D412:D413"/>
    <mergeCell ref="E412:E413"/>
    <mergeCell ref="F412:F413"/>
    <mergeCell ref="D332:D333"/>
    <mergeCell ref="D372:D373"/>
    <mergeCell ref="G412:I412"/>
    <mergeCell ref="A372:A373"/>
    <mergeCell ref="G372:I372"/>
    <mergeCell ref="A412:A413"/>
    <mergeCell ref="B412:B413"/>
    <mergeCell ref="E372:E373"/>
    <mergeCell ref="F372:F373"/>
    <mergeCell ref="B372:B373"/>
    <mergeCell ref="A477:B477"/>
    <mergeCell ref="H477:I477"/>
    <mergeCell ref="B432:C432"/>
    <mergeCell ref="I432:J432"/>
    <mergeCell ref="A454:A455"/>
    <mergeCell ref="B454:B455"/>
    <mergeCell ref="G454:I454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3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01" t="s">
        <v>7</v>
      </c>
      <c r="C10" s="501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01" t="s">
        <v>8</v>
      </c>
      <c r="C11" s="501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/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04"/>
      <c r="B20" s="504" t="s">
        <v>11</v>
      </c>
      <c r="C20" s="100" t="s">
        <v>12</v>
      </c>
      <c r="D20" s="506" t="s">
        <v>13</v>
      </c>
      <c r="E20" s="502" t="s">
        <v>14</v>
      </c>
      <c r="F20" s="506" t="s">
        <v>200</v>
      </c>
      <c r="G20" s="506" t="s">
        <v>15</v>
      </c>
      <c r="H20" s="506"/>
      <c r="I20" s="506"/>
      <c r="J20" s="101" t="s">
        <v>16</v>
      </c>
      <c r="K20" s="219"/>
      <c r="L20" s="220"/>
      <c r="M20" s="219"/>
    </row>
    <row r="21" spans="1:13" ht="15.75" thickBot="1">
      <c r="A21" s="505"/>
      <c r="B21" s="505"/>
      <c r="C21" s="126" t="s">
        <v>17</v>
      </c>
      <c r="D21" s="507"/>
      <c r="E21" s="503"/>
      <c r="F21" s="507"/>
      <c r="G21" s="127" t="s">
        <v>18</v>
      </c>
      <c r="H21" s="127" t="s">
        <v>19</v>
      </c>
      <c r="I21" s="127" t="s">
        <v>20</v>
      </c>
      <c r="J21" s="127" t="s">
        <v>21</v>
      </c>
      <c r="K21" s="219"/>
      <c r="L21" s="220"/>
      <c r="M21" s="219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219"/>
      <c r="L22" s="220"/>
      <c r="M22" s="219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219"/>
      <c r="L29" s="220">
        <v>2350</v>
      </c>
      <c r="M29" s="219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21">
        <f>J35*M28/L29</f>
        <v>26.35668085106383</v>
      </c>
      <c r="L35" s="220"/>
      <c r="M35" s="219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21">
        <f>J36*M28/L29</f>
        <v>52.74995532765958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7"/>
      <c r="H38" s="222"/>
      <c r="I38" s="222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7"/>
      <c r="H39" s="222"/>
      <c r="I39" s="222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7"/>
      <c r="H40" s="222"/>
      <c r="I40" s="222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0"/>
      <c r="C43" s="7"/>
      <c r="D43" s="7"/>
      <c r="E43" s="8"/>
      <c r="F43" s="9"/>
      <c r="G43" s="7"/>
      <c r="H43" s="222"/>
      <c r="I43" s="222"/>
      <c r="J43" s="13"/>
      <c r="K43" s="219"/>
      <c r="L43" s="220"/>
      <c r="M43" s="219"/>
    </row>
    <row r="44" spans="2:13" ht="16.5" customHeight="1">
      <c r="B44" s="10"/>
      <c r="C44" s="7"/>
      <c r="D44" s="7"/>
      <c r="E44" s="8"/>
      <c r="F44" s="9"/>
      <c r="G44" s="7"/>
      <c r="H44" s="222"/>
      <c r="I44" s="222"/>
      <c r="J44" s="13"/>
      <c r="K44" s="219"/>
      <c r="L44" s="220"/>
      <c r="M44" s="219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219"/>
      <c r="L45" s="220"/>
      <c r="M45" s="219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219"/>
      <c r="L46" s="220"/>
      <c r="M46" s="219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219"/>
      <c r="L47" s="220"/>
      <c r="M47" s="219"/>
    </row>
    <row r="48" spans="2:13" ht="16.5" customHeight="1">
      <c r="B48" s="19"/>
      <c r="K48" s="219"/>
      <c r="L48" s="220"/>
      <c r="M48" s="219"/>
    </row>
    <row r="49" spans="11:13" ht="16.5" customHeight="1">
      <c r="K49" s="221"/>
      <c r="L49" s="220"/>
      <c r="M49" s="219"/>
    </row>
    <row r="50" spans="11:13" ht="16.5" customHeight="1">
      <c r="K50" s="221"/>
      <c r="L50" s="220"/>
      <c r="M50" s="219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219"/>
      <c r="L52" s="220"/>
      <c r="M52" s="219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219"/>
      <c r="L53" s="220"/>
      <c r="M53" s="219"/>
    </row>
    <row r="54" spans="1:13" ht="16.5" customHeight="1" thickBot="1">
      <c r="A54" s="489"/>
      <c r="B54" s="489" t="s">
        <v>11</v>
      </c>
      <c r="C54" s="21" t="s">
        <v>12</v>
      </c>
      <c r="D54" s="494" t="s">
        <v>13</v>
      </c>
      <c r="E54" s="496" t="s">
        <v>14</v>
      </c>
      <c r="F54" s="494" t="s">
        <v>200</v>
      </c>
      <c r="G54" s="498" t="s">
        <v>15</v>
      </c>
      <c r="H54" s="499"/>
      <c r="I54" s="500"/>
      <c r="J54" s="21" t="s">
        <v>16</v>
      </c>
      <c r="K54" s="219"/>
      <c r="L54" s="220"/>
      <c r="M54" s="219"/>
    </row>
    <row r="55" spans="1:13" ht="15.75" thickBot="1">
      <c r="A55" s="490"/>
      <c r="B55" s="490"/>
      <c r="C55" s="23" t="s">
        <v>17</v>
      </c>
      <c r="D55" s="495"/>
      <c r="E55" s="497"/>
      <c r="F55" s="495"/>
      <c r="G55" s="23" t="s">
        <v>18</v>
      </c>
      <c r="H55" s="23" t="s">
        <v>19</v>
      </c>
      <c r="I55" s="23" t="s">
        <v>20</v>
      </c>
      <c r="J55" s="23" t="s">
        <v>21</v>
      </c>
      <c r="K55" s="219"/>
      <c r="L55" s="220"/>
      <c r="M55" s="219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219"/>
      <c r="L56" s="220"/>
      <c r="M56" s="219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219"/>
      <c r="L57" s="220"/>
      <c r="M57" s="219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219"/>
      <c r="L58" s="220"/>
      <c r="M58" s="219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219"/>
      <c r="L59" s="220"/>
      <c r="M59" s="219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219"/>
      <c r="L60" s="220"/>
      <c r="M60" s="219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219"/>
      <c r="L61" s="220"/>
      <c r="M61" s="219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21">
        <f>J62*M62/L63</f>
        <v>23.24149259574468</v>
      </c>
      <c r="L62" s="220"/>
      <c r="M62" s="219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219"/>
      <c r="L63" s="220">
        <v>2350</v>
      </c>
      <c r="M63" s="219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70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219"/>
      <c r="L64" s="220"/>
      <c r="M64" s="219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219"/>
      <c r="L65" s="220"/>
      <c r="M65" s="219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219"/>
      <c r="L66" s="220"/>
      <c r="M66" s="219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219"/>
      <c r="L67" s="220"/>
      <c r="M67" s="219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219"/>
      <c r="L68" s="220"/>
      <c r="M68" s="219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219"/>
      <c r="L69" s="220"/>
      <c r="M69" s="219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 t="shared" si="0"/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219"/>
      <c r="L70" s="220"/>
      <c r="M70" s="219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21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219"/>
      <c r="L72" s="220"/>
      <c r="M72" s="219"/>
    </row>
    <row r="73" spans="11:13" ht="16.5" customHeight="1"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219"/>
      <c r="L85" s="220"/>
      <c r="M85" s="219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219"/>
      <c r="L86" s="220"/>
      <c r="M86" s="219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219"/>
      <c r="L87" s="220"/>
      <c r="M87" s="219"/>
    </row>
    <row r="88" spans="2:13" ht="16.5" customHeight="1">
      <c r="B88" s="19"/>
      <c r="K88" s="219"/>
      <c r="L88" s="220"/>
      <c r="M88" s="219"/>
    </row>
    <row r="89" spans="2:13" ht="16.5" customHeight="1">
      <c r="B89" s="20"/>
      <c r="K89" s="219"/>
      <c r="L89" s="220"/>
      <c r="M89" s="219"/>
    </row>
    <row r="90" spans="2:13" ht="16.5" customHeight="1">
      <c r="B90" s="20"/>
      <c r="K90" s="219"/>
      <c r="L90" s="220"/>
      <c r="M90" s="219"/>
    </row>
    <row r="91" spans="2:13" ht="16.5" customHeight="1" thickBot="1">
      <c r="B91" s="20"/>
      <c r="K91" s="219"/>
      <c r="L91" s="220"/>
      <c r="M91" s="219"/>
    </row>
    <row r="92" spans="1:13" ht="16.5" customHeight="1" thickBot="1">
      <c r="A92" s="489"/>
      <c r="B92" s="489" t="s">
        <v>11</v>
      </c>
      <c r="C92" s="21" t="s">
        <v>12</v>
      </c>
      <c r="D92" s="494" t="s">
        <v>13</v>
      </c>
      <c r="E92" s="496" t="s">
        <v>14</v>
      </c>
      <c r="F92" s="494" t="s">
        <v>200</v>
      </c>
      <c r="G92" s="498" t="s">
        <v>15</v>
      </c>
      <c r="H92" s="499"/>
      <c r="I92" s="500"/>
      <c r="J92" s="21" t="s">
        <v>16</v>
      </c>
      <c r="K92" s="219"/>
      <c r="L92" s="220"/>
      <c r="M92" s="219"/>
    </row>
    <row r="93" spans="1:13" ht="28.5" customHeight="1" thickBot="1">
      <c r="A93" s="490"/>
      <c r="B93" s="490"/>
      <c r="C93" s="23" t="s">
        <v>17</v>
      </c>
      <c r="D93" s="495"/>
      <c r="E93" s="497"/>
      <c r="F93" s="495"/>
      <c r="G93" s="23" t="s">
        <v>18</v>
      </c>
      <c r="H93" s="23" t="s">
        <v>19</v>
      </c>
      <c r="I93" s="23" t="s">
        <v>20</v>
      </c>
      <c r="J93" s="23" t="s">
        <v>21</v>
      </c>
      <c r="K93" s="219"/>
      <c r="L93" s="220"/>
      <c r="M93" s="219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219"/>
      <c r="L94" s="220"/>
      <c r="M94" s="219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219"/>
      <c r="L95" s="220"/>
      <c r="M95" s="219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219"/>
      <c r="L96" s="220"/>
      <c r="M96" s="219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219"/>
      <c r="L97" s="220"/>
      <c r="M97" s="219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219"/>
      <c r="L98" s="220"/>
      <c r="M98" s="219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21">
        <f>J99*M99/L100</f>
        <v>24.400146382978726</v>
      </c>
      <c r="L99" s="220"/>
      <c r="M99" s="219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219"/>
      <c r="L100" s="220">
        <v>2350</v>
      </c>
      <c r="M100" s="219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 aca="true" t="shared" si="1" ref="F101:F107"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219"/>
      <c r="L101" s="220"/>
      <c r="M101" s="219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t="shared" si="1"/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219"/>
      <c r="L102" s="220"/>
      <c r="M102" s="219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223"/>
      <c r="L103" s="220"/>
      <c r="M103" s="219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 t="shared" si="1"/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224"/>
      <c r="L104" s="225"/>
      <c r="M104" s="224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219"/>
      <c r="L105" s="220"/>
      <c r="M105" s="219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219"/>
      <c r="L106" s="220"/>
      <c r="M106" s="219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219"/>
      <c r="L107" s="220"/>
      <c r="M107" s="219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21">
        <f>J108*M99/L100</f>
        <v>38.587659574468084</v>
      </c>
      <c r="L108" s="48" t="s">
        <v>74</v>
      </c>
      <c r="M108" s="219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21">
        <f>J109*M99/L100</f>
        <v>62.98780595744682</v>
      </c>
      <c r="L109" s="220"/>
      <c r="M109" s="219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219"/>
      <c r="L110" s="220"/>
      <c r="M110" s="219"/>
    </row>
    <row r="111" spans="11:13" ht="16.5" customHeight="1">
      <c r="K111" s="219"/>
      <c r="L111" s="220"/>
      <c r="M111" s="219"/>
    </row>
    <row r="112" spans="11:13" ht="16.5" customHeight="1"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219"/>
      <c r="L123" s="220"/>
      <c r="M123" s="219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219"/>
      <c r="L124" s="220"/>
      <c r="M124" s="219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489"/>
      <c r="B132" s="489" t="s">
        <v>11</v>
      </c>
      <c r="C132" s="21" t="s">
        <v>12</v>
      </c>
      <c r="D132" s="494" t="s">
        <v>13</v>
      </c>
      <c r="E132" s="496" t="s">
        <v>14</v>
      </c>
      <c r="F132" s="494" t="s">
        <v>200</v>
      </c>
      <c r="G132" s="498" t="s">
        <v>15</v>
      </c>
      <c r="H132" s="499"/>
      <c r="I132" s="500"/>
      <c r="J132" s="21" t="s">
        <v>16</v>
      </c>
    </row>
    <row r="133" spans="1:10" ht="24.75" customHeight="1" thickBot="1">
      <c r="A133" s="490"/>
      <c r="B133" s="490"/>
      <c r="C133" s="23" t="s">
        <v>17</v>
      </c>
      <c r="D133" s="495"/>
      <c r="E133" s="497"/>
      <c r="F133" s="495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219"/>
      <c r="L137" s="220"/>
      <c r="M137" s="219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219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219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219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223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219"/>
      <c r="L145" s="220"/>
      <c r="M145" s="219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219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>D140+D147</f>
        <v>82.80000000000001</v>
      </c>
      <c r="E148" s="33"/>
      <c r="F148" s="33">
        <f>F140+F147</f>
        <v>107.64</v>
      </c>
      <c r="G148" s="33">
        <f>G140+G147</f>
        <v>41.46</v>
      </c>
      <c r="H148" s="33">
        <f>H140+H147</f>
        <v>53.35</v>
      </c>
      <c r="I148" s="33">
        <f>I140+I147</f>
        <v>176.32</v>
      </c>
      <c r="J148" s="33">
        <f>J140+J147</f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489"/>
      <c r="B172" s="489" t="s">
        <v>11</v>
      </c>
      <c r="C172" s="21" t="s">
        <v>12</v>
      </c>
      <c r="D172" s="494" t="s">
        <v>13</v>
      </c>
      <c r="E172" s="496" t="s">
        <v>14</v>
      </c>
      <c r="F172" s="494" t="s">
        <v>200</v>
      </c>
      <c r="G172" s="61" t="s">
        <v>15</v>
      </c>
      <c r="H172" s="62"/>
      <c r="I172" s="63"/>
      <c r="J172" s="21" t="s">
        <v>16</v>
      </c>
    </row>
    <row r="173" spans="1:10" ht="15.75" thickBot="1">
      <c r="A173" s="490"/>
      <c r="B173" s="490"/>
      <c r="C173" s="23" t="s">
        <v>17</v>
      </c>
      <c r="D173" s="495"/>
      <c r="E173" s="497"/>
      <c r="F173" s="495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2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2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2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21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 t="shared" si="2"/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223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2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2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21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489"/>
      <c r="B212" s="489" t="s">
        <v>11</v>
      </c>
      <c r="C212" s="21" t="s">
        <v>12</v>
      </c>
      <c r="D212" s="494" t="s">
        <v>13</v>
      </c>
      <c r="E212" s="496" t="s">
        <v>14</v>
      </c>
      <c r="F212" s="494" t="s">
        <v>200</v>
      </c>
      <c r="G212" s="491" t="s">
        <v>15</v>
      </c>
      <c r="H212" s="492"/>
      <c r="I212" s="493"/>
      <c r="J212" s="22" t="s">
        <v>16</v>
      </c>
    </row>
    <row r="213" spans="1:10" ht="16.5" customHeight="1" thickBot="1">
      <c r="A213" s="490"/>
      <c r="B213" s="490"/>
      <c r="C213" s="23" t="s">
        <v>17</v>
      </c>
      <c r="D213" s="495"/>
      <c r="E213" s="497"/>
      <c r="F213" s="495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3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3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3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3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3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3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4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4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4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4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4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4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219"/>
      <c r="L229" s="220"/>
      <c r="M229" s="219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220"/>
      <c r="M233" s="219"/>
      <c r="N233" s="219"/>
      <c r="O233" s="219"/>
    </row>
    <row r="234" spans="11:15" ht="16.5" customHeight="1">
      <c r="K234" s="219"/>
      <c r="L234" s="25">
        <v>2350</v>
      </c>
      <c r="M234" s="219"/>
      <c r="N234" s="219"/>
      <c r="O234" s="219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219"/>
      <c r="L235" s="220"/>
      <c r="M235" s="219"/>
      <c r="N235" s="219"/>
      <c r="O235" s="219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223"/>
      <c r="L236" s="220"/>
      <c r="M236" s="219"/>
      <c r="N236" s="219"/>
      <c r="O236" s="219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219"/>
      <c r="L237" s="220"/>
      <c r="M237" s="219"/>
      <c r="N237" s="219"/>
      <c r="O237" s="219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220"/>
      <c r="M238" s="219"/>
      <c r="N238" s="219"/>
      <c r="O238" s="219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220"/>
      <c r="M239" s="219"/>
      <c r="N239" s="219"/>
      <c r="O239" s="219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220"/>
      <c r="M240" s="219"/>
      <c r="N240" s="219"/>
      <c r="O240" s="219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220"/>
      <c r="M241" s="219"/>
      <c r="N241" s="219"/>
      <c r="O241" s="219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220"/>
      <c r="M242" s="219"/>
      <c r="N242" s="219"/>
      <c r="O242" s="219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220"/>
      <c r="M243" s="219"/>
      <c r="N243" s="219"/>
      <c r="O243" s="219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220"/>
      <c r="M244" s="219"/>
      <c r="N244" s="219"/>
      <c r="O244" s="219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489"/>
      <c r="B252" s="489" t="s">
        <v>11</v>
      </c>
      <c r="C252" s="21" t="s">
        <v>12</v>
      </c>
      <c r="D252" s="494" t="s">
        <v>13</v>
      </c>
      <c r="E252" s="496" t="s">
        <v>14</v>
      </c>
      <c r="F252" s="494" t="s">
        <v>200</v>
      </c>
      <c r="G252" s="491" t="s">
        <v>15</v>
      </c>
      <c r="H252" s="492"/>
      <c r="I252" s="493"/>
      <c r="J252" s="22" t="s">
        <v>16</v>
      </c>
    </row>
    <row r="253" spans="1:10" ht="16.5" customHeight="1" thickBot="1">
      <c r="A253" s="490"/>
      <c r="B253" s="490"/>
      <c r="C253" s="23" t="s">
        <v>17</v>
      </c>
      <c r="D253" s="495"/>
      <c r="E253" s="497"/>
      <c r="F253" s="495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489"/>
      <c r="B290" s="489" t="s">
        <v>11</v>
      </c>
      <c r="C290" s="21" t="s">
        <v>12</v>
      </c>
      <c r="D290" s="494" t="s">
        <v>13</v>
      </c>
      <c r="E290" s="496" t="s">
        <v>14</v>
      </c>
      <c r="F290" s="494" t="s">
        <v>200</v>
      </c>
      <c r="G290" s="498" t="s">
        <v>15</v>
      </c>
      <c r="H290" s="499"/>
      <c r="I290" s="500"/>
      <c r="J290" s="21" t="s">
        <v>16</v>
      </c>
      <c r="L290" s="6"/>
    </row>
    <row r="291" spans="1:12" ht="16.5" customHeight="1" thickBot="1">
      <c r="A291" s="490"/>
      <c r="B291" s="490"/>
      <c r="C291" s="23" t="s">
        <v>17</v>
      </c>
      <c r="D291" s="495"/>
      <c r="E291" s="497"/>
      <c r="F291" s="495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5" ref="D297:J297">SUM(D293:D296)</f>
        <v>32.480000000000004</v>
      </c>
      <c r="E297" s="157">
        <f t="shared" si="5"/>
        <v>120</v>
      </c>
      <c r="F297" s="157">
        <f t="shared" si="5"/>
        <v>42.224000000000004</v>
      </c>
      <c r="G297" s="157">
        <f t="shared" si="5"/>
        <v>23.54</v>
      </c>
      <c r="H297" s="157">
        <f t="shared" si="5"/>
        <v>21.42</v>
      </c>
      <c r="I297" s="157">
        <f t="shared" si="5"/>
        <v>58.900000000000006</v>
      </c>
      <c r="J297" s="157">
        <f t="shared" si="5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6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 t="shared" si="6"/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6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6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6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6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6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219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8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489"/>
      <c r="B332" s="489" t="s">
        <v>11</v>
      </c>
      <c r="C332" s="21" t="s">
        <v>12</v>
      </c>
      <c r="D332" s="494" t="s">
        <v>13</v>
      </c>
      <c r="E332" s="496" t="s">
        <v>14</v>
      </c>
      <c r="F332" s="494" t="s">
        <v>200</v>
      </c>
      <c r="G332" s="491" t="s">
        <v>15</v>
      </c>
      <c r="H332" s="492"/>
      <c r="I332" s="493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490"/>
      <c r="B333" s="490"/>
      <c r="C333" s="23" t="s">
        <v>17</v>
      </c>
      <c r="D333" s="495"/>
      <c r="E333" s="497"/>
      <c r="F333" s="495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>SUM(D335:D337)</f>
        <v>37.849999999999994</v>
      </c>
      <c r="E338" s="157"/>
      <c r="F338" s="157">
        <f>SUM(F335:F337)</f>
        <v>49.205</v>
      </c>
      <c r="G338" s="157">
        <f>SUM(G335:G337)</f>
        <v>20.1</v>
      </c>
      <c r="H338" s="157">
        <f>SUM(H335:H337)</f>
        <v>25.950000000000003</v>
      </c>
      <c r="I338" s="157">
        <f>SUM(I335:I337)</f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7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7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7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7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7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7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219" t="s">
        <v>143</v>
      </c>
      <c r="L350" s="220"/>
      <c r="M350" s="219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219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219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219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219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219"/>
      <c r="L357" s="220"/>
      <c r="M357" s="219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219"/>
      <c r="L358" s="220"/>
      <c r="M358" s="219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219"/>
      <c r="L359" s="220"/>
      <c r="M359" s="219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219"/>
      <c r="L360" s="220"/>
      <c r="M360" s="219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219"/>
      <c r="L361" s="220"/>
      <c r="M361" s="219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219"/>
      <c r="L362" s="220"/>
      <c r="M362" s="219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219"/>
      <c r="L363" s="220"/>
      <c r="M363" s="219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21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21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489"/>
      <c r="B372" s="489" t="s">
        <v>11</v>
      </c>
      <c r="C372" s="21" t="s">
        <v>12</v>
      </c>
      <c r="D372" s="494" t="s">
        <v>13</v>
      </c>
      <c r="E372" s="496" t="s">
        <v>14</v>
      </c>
      <c r="F372" s="494" t="s">
        <v>200</v>
      </c>
      <c r="G372" s="491" t="s">
        <v>15</v>
      </c>
      <c r="H372" s="492"/>
      <c r="I372" s="493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490"/>
      <c r="B373" s="490"/>
      <c r="C373" s="23" t="s">
        <v>17</v>
      </c>
      <c r="D373" s="495"/>
      <c r="E373" s="497"/>
      <c r="F373" s="495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8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8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8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8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8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8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8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8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219"/>
      <c r="L405" s="220"/>
      <c r="M405" s="219"/>
    </row>
    <row r="406" spans="2:11" ht="18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489"/>
      <c r="B412" s="489" t="s">
        <v>11</v>
      </c>
      <c r="C412" s="21" t="s">
        <v>12</v>
      </c>
      <c r="D412" s="494" t="s">
        <v>13</v>
      </c>
      <c r="E412" s="496" t="s">
        <v>14</v>
      </c>
      <c r="F412" s="494" t="s">
        <v>200</v>
      </c>
      <c r="G412" s="491" t="s">
        <v>15</v>
      </c>
      <c r="H412" s="492"/>
      <c r="I412" s="493"/>
      <c r="J412" s="22" t="s">
        <v>16</v>
      </c>
    </row>
    <row r="413" spans="1:10" ht="16.5" customHeight="1" thickBot="1">
      <c r="A413" s="490"/>
      <c r="B413" s="490"/>
      <c r="C413" s="23" t="s">
        <v>17</v>
      </c>
      <c r="D413" s="495"/>
      <c r="E413" s="497"/>
      <c r="F413" s="495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9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9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9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9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9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9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0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0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0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0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0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0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487"/>
      <c r="C432" s="487"/>
      <c r="D432" s="39"/>
      <c r="E432" s="80"/>
      <c r="F432" s="39"/>
      <c r="G432" s="39"/>
      <c r="H432" s="81"/>
      <c r="I432" s="488"/>
      <c r="J432" s="488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489"/>
      <c r="B454" s="489" t="s">
        <v>11</v>
      </c>
      <c r="C454" s="21" t="s">
        <v>12</v>
      </c>
      <c r="D454" s="494" t="s">
        <v>13</v>
      </c>
      <c r="E454" s="496" t="s">
        <v>14</v>
      </c>
      <c r="F454" s="494" t="s">
        <v>200</v>
      </c>
      <c r="G454" s="491" t="s">
        <v>15</v>
      </c>
      <c r="H454" s="492"/>
      <c r="I454" s="493"/>
      <c r="J454" s="22" t="s">
        <v>16</v>
      </c>
      <c r="L454" s="6"/>
    </row>
    <row r="455" spans="1:12" ht="16.5" customHeight="1" thickBot="1">
      <c r="A455" s="490"/>
      <c r="B455" s="490"/>
      <c r="C455" s="23" t="s">
        <v>17</v>
      </c>
      <c r="D455" s="495"/>
      <c r="E455" s="497"/>
      <c r="F455" s="495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18.7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18.7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487" t="s">
        <v>286</v>
      </c>
      <c r="B477" s="487"/>
      <c r="C477" s="39"/>
      <c r="D477" s="80"/>
      <c r="E477" s="39"/>
      <c r="F477" s="39"/>
      <c r="G477" s="81"/>
      <c r="H477" s="488" t="s">
        <v>178</v>
      </c>
      <c r="I477" s="488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A477:B477"/>
    <mergeCell ref="H477:I477"/>
    <mergeCell ref="B432:C432"/>
    <mergeCell ref="I432:J432"/>
    <mergeCell ref="A454:A455"/>
    <mergeCell ref="B454:B455"/>
    <mergeCell ref="D454:D455"/>
    <mergeCell ref="E454:E455"/>
    <mergeCell ref="F454:F455"/>
    <mergeCell ref="G454:I454"/>
    <mergeCell ref="G412:I412"/>
    <mergeCell ref="A372:A373"/>
    <mergeCell ref="B372:B373"/>
    <mergeCell ref="D372:D373"/>
    <mergeCell ref="E372:E373"/>
    <mergeCell ref="F372:F373"/>
    <mergeCell ref="G372:I372"/>
    <mergeCell ref="A412:A413"/>
    <mergeCell ref="B412:B413"/>
    <mergeCell ref="D412:D413"/>
    <mergeCell ref="E412:E413"/>
    <mergeCell ref="F412:F4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F172:F173"/>
    <mergeCell ref="B332:B333"/>
    <mergeCell ref="D332:D333"/>
    <mergeCell ref="E332:E333"/>
    <mergeCell ref="F332:F333"/>
    <mergeCell ref="B252:B253"/>
    <mergeCell ref="D252:D253"/>
    <mergeCell ref="E252:E253"/>
    <mergeCell ref="F252:F253"/>
    <mergeCell ref="G252:I252"/>
    <mergeCell ref="A212:A213"/>
    <mergeCell ref="B212:B213"/>
    <mergeCell ref="D212:D213"/>
    <mergeCell ref="F212:F213"/>
    <mergeCell ref="G212:I212"/>
    <mergeCell ref="A252:A253"/>
    <mergeCell ref="E212:E213"/>
    <mergeCell ref="A92:A93"/>
    <mergeCell ref="B92:B93"/>
    <mergeCell ref="D92:D93"/>
    <mergeCell ref="E92:E93"/>
    <mergeCell ref="A132:A133"/>
    <mergeCell ref="B132:B133"/>
    <mergeCell ref="D132:D133"/>
    <mergeCell ref="E132:E133"/>
    <mergeCell ref="A172:A173"/>
    <mergeCell ref="B172:B173"/>
    <mergeCell ref="D172:D173"/>
    <mergeCell ref="E172:E173"/>
    <mergeCell ref="E20:E21"/>
    <mergeCell ref="G132:I132"/>
    <mergeCell ref="F92:F93"/>
    <mergeCell ref="G92:I92"/>
    <mergeCell ref="F132:F133"/>
    <mergeCell ref="F20:F21"/>
    <mergeCell ref="G20:I20"/>
    <mergeCell ref="F54:F55"/>
    <mergeCell ref="G54:I54"/>
    <mergeCell ref="D20:D21"/>
    <mergeCell ref="B10:C10"/>
    <mergeCell ref="B11:C11"/>
    <mergeCell ref="A20:A21"/>
    <mergeCell ref="B20:B21"/>
    <mergeCell ref="A54:A55"/>
    <mergeCell ref="B54:B55"/>
    <mergeCell ref="D54:D55"/>
    <mergeCell ref="E54:E55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X680"/>
  <sheetViews>
    <sheetView view="pageBreakPreview" zoomScale="85" zoomScaleNormal="85" zoomScaleSheetLayoutView="85" zoomScalePageLayoutView="0" workbookViewId="0" topLeftCell="A444">
      <selection activeCell="B381" sqref="B381"/>
    </sheetView>
  </sheetViews>
  <sheetFormatPr defaultColWidth="9.140625" defaultRowHeight="16.5" customHeight="1"/>
  <cols>
    <col min="1" max="1" width="9.140625" style="6" customWidth="1"/>
    <col min="2" max="2" width="57.7109375" style="6" customWidth="1"/>
    <col min="3" max="3" width="11.140625" style="6" customWidth="1"/>
    <col min="4" max="4" width="10.421875" style="6" hidden="1" customWidth="1"/>
    <col min="5" max="5" width="10.421875" style="18" hidden="1" customWidth="1"/>
    <col min="6" max="6" width="12.7109375" style="17" customWidth="1"/>
    <col min="7" max="7" width="10.57421875" style="6" customWidth="1"/>
    <col min="8" max="8" width="11.57421875" style="6" customWidth="1"/>
    <col min="9" max="9" width="12.421875" style="6" customWidth="1"/>
    <col min="10" max="10" width="17.851562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501" t="s">
        <v>7</v>
      </c>
      <c r="C10" s="501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501" t="s">
        <v>8</v>
      </c>
      <c r="C11" s="501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314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 t="s">
        <v>348</v>
      </c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04"/>
      <c r="B20" s="504" t="s">
        <v>11</v>
      </c>
      <c r="C20" s="100" t="s">
        <v>12</v>
      </c>
      <c r="D20" s="506" t="s">
        <v>13</v>
      </c>
      <c r="E20" s="502" t="s">
        <v>14</v>
      </c>
      <c r="F20" s="506" t="s">
        <v>200</v>
      </c>
      <c r="G20" s="506" t="s">
        <v>15</v>
      </c>
      <c r="H20" s="506"/>
      <c r="I20" s="506"/>
      <c r="J20" s="101" t="s">
        <v>16</v>
      </c>
      <c r="K20" s="219"/>
      <c r="L20" s="220"/>
      <c r="M20" s="219"/>
    </row>
    <row r="21" spans="1:13" ht="22.5" customHeight="1">
      <c r="A21" s="514"/>
      <c r="B21" s="514"/>
      <c r="C21" s="102" t="s">
        <v>17</v>
      </c>
      <c r="D21" s="515"/>
      <c r="E21" s="513"/>
      <c r="F21" s="515"/>
      <c r="G21" s="103" t="s">
        <v>18</v>
      </c>
      <c r="H21" s="103" t="s">
        <v>19</v>
      </c>
      <c r="I21" s="103" t="s">
        <v>20</v>
      </c>
      <c r="J21" s="103" t="s">
        <v>21</v>
      </c>
      <c r="K21" s="219"/>
      <c r="L21" s="220"/>
      <c r="M21" s="219"/>
    </row>
    <row r="22" spans="1:13" ht="16.5" customHeight="1">
      <c r="A22" s="141"/>
      <c r="B22" s="142" t="s">
        <v>22</v>
      </c>
      <c r="C22" s="143"/>
      <c r="D22" s="144"/>
      <c r="E22" s="145"/>
      <c r="F22" s="144"/>
      <c r="G22" s="144"/>
      <c r="H22" s="144"/>
      <c r="I22" s="144"/>
      <c r="J22" s="146"/>
      <c r="K22" s="219"/>
      <c r="L22" s="220"/>
      <c r="M22" s="219"/>
    </row>
    <row r="23" spans="1:13" ht="16.5" customHeight="1">
      <c r="A23" s="104" t="s">
        <v>304</v>
      </c>
      <c r="B23" s="104" t="s">
        <v>23</v>
      </c>
      <c r="C23" s="105">
        <v>25</v>
      </c>
      <c r="D23" s="106">
        <v>3.23</v>
      </c>
      <c r="E23" s="107">
        <v>30</v>
      </c>
      <c r="F23" s="106">
        <v>4.2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21.08</v>
      </c>
      <c r="E24" s="107">
        <v>30</v>
      </c>
      <c r="F24" s="106">
        <v>27.41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1.78</v>
      </c>
      <c r="E25" s="107">
        <v>30</v>
      </c>
      <c r="F25" s="106">
        <v>2.31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2.16</v>
      </c>
      <c r="E26" s="110">
        <v>30</v>
      </c>
      <c r="F26" s="106">
        <v>2.8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345</v>
      </c>
      <c r="B27" s="109" t="s">
        <v>32</v>
      </c>
      <c r="C27" s="112">
        <v>200</v>
      </c>
      <c r="D27" s="111">
        <v>7.06</v>
      </c>
      <c r="E27" s="110">
        <v>30</v>
      </c>
      <c r="F27" s="106">
        <v>9.18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>
      <c r="A28" s="113"/>
      <c r="B28" s="113" t="s">
        <v>226</v>
      </c>
      <c r="C28" s="113"/>
      <c r="D28" s="114">
        <f>SUM(D23:D27)</f>
        <v>35.31</v>
      </c>
      <c r="E28" s="114"/>
      <c r="F28" s="114">
        <f>SUM(F23:F27)</f>
        <v>45.9</v>
      </c>
      <c r="G28" s="114">
        <f>SUM(G23:G27)</f>
        <v>22.1479394</v>
      </c>
      <c r="H28" s="114">
        <f>SUM(H23:H27)</f>
        <v>29.155339199999997</v>
      </c>
      <c r="I28" s="114">
        <f>SUM(I23:I27)</f>
        <v>67.30803495</v>
      </c>
      <c r="J28" s="114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>
      <c r="A29" s="141"/>
      <c r="B29" s="142" t="s">
        <v>33</v>
      </c>
      <c r="C29" s="143"/>
      <c r="D29" s="144"/>
      <c r="E29" s="145"/>
      <c r="F29" s="144"/>
      <c r="G29" s="144"/>
      <c r="H29" s="144"/>
      <c r="I29" s="144"/>
      <c r="J29" s="146"/>
      <c r="K29" s="219"/>
      <c r="L29" s="220">
        <v>2350</v>
      </c>
      <c r="M29" s="219"/>
    </row>
    <row r="30" spans="1:13" ht="16.5" customHeight="1">
      <c r="A30" s="109" t="s">
        <v>306</v>
      </c>
      <c r="B30" s="109" t="s">
        <v>305</v>
      </c>
      <c r="C30" s="105">
        <v>100</v>
      </c>
      <c r="D30" s="106">
        <v>2.54</v>
      </c>
      <c r="E30" s="107">
        <v>30</v>
      </c>
      <c r="F30" s="106">
        <v>3.3</v>
      </c>
      <c r="G30" s="130">
        <v>0.517</v>
      </c>
      <c r="H30" s="130">
        <v>0.08800000000000001</v>
      </c>
      <c r="I30" s="130">
        <v>2.093</v>
      </c>
      <c r="J30" s="130">
        <v>96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4.03</v>
      </c>
      <c r="E31" s="110">
        <v>30</v>
      </c>
      <c r="F31" s="106">
        <v>5.24</v>
      </c>
      <c r="G31" s="111">
        <v>2.26</v>
      </c>
      <c r="H31" s="111">
        <v>6.06</v>
      </c>
      <c r="I31" s="111">
        <v>7.26</v>
      </c>
      <c r="J31" s="111">
        <v>123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28.65</v>
      </c>
      <c r="E32" s="119">
        <v>30</v>
      </c>
      <c r="F32" s="106">
        <v>37.25</v>
      </c>
      <c r="G32" s="106">
        <v>17.45</v>
      </c>
      <c r="H32" s="106">
        <v>15.41</v>
      </c>
      <c r="I32" s="106">
        <v>26.5</v>
      </c>
      <c r="J32" s="106">
        <v>323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2.58</v>
      </c>
      <c r="E33" s="110">
        <v>30</v>
      </c>
      <c r="F33" s="106">
        <f>D33*E33%+D33</f>
        <v>3.354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4.72</v>
      </c>
      <c r="E34" s="110">
        <v>30</v>
      </c>
      <c r="F34" s="106">
        <f>D34*E34%+D34</f>
        <v>6.135999999999999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42.519999999999996</v>
      </c>
      <c r="E35" s="103"/>
      <c r="F35" s="103">
        <f>SUM(F30:F34)</f>
        <v>55.28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756.3</v>
      </c>
      <c r="K35" s="221">
        <f>J35*M28/L29</f>
        <v>32.182978723404254</v>
      </c>
      <c r="L35" s="220"/>
      <c r="M35" s="219"/>
    </row>
    <row r="36" spans="1:13" ht="16.5" customHeight="1" thickBot="1">
      <c r="A36" s="123"/>
      <c r="B36" s="123" t="s">
        <v>283</v>
      </c>
      <c r="C36" s="123"/>
      <c r="D36" s="124">
        <f>D35+D28</f>
        <v>77.83</v>
      </c>
      <c r="E36" s="124"/>
      <c r="F36" s="124">
        <f>F28+F35</f>
        <v>101.18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1376.5419502</v>
      </c>
      <c r="K36" s="221">
        <f>J36*M28/L29</f>
        <v>58.5762532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34"/>
      <c r="H38" s="35"/>
      <c r="I38" s="35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34"/>
      <c r="H39" s="35"/>
      <c r="I39" s="35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34"/>
      <c r="H40" s="35"/>
      <c r="I40" s="35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6" t="s">
        <v>45</v>
      </c>
      <c r="C43" s="7"/>
      <c r="D43" s="7"/>
      <c r="E43" s="8"/>
      <c r="F43" s="9"/>
      <c r="G43" s="7"/>
      <c r="H43" s="7"/>
      <c r="I43" s="7"/>
      <c r="J43" s="13"/>
      <c r="K43" s="219"/>
      <c r="L43" s="220"/>
      <c r="M43" s="219"/>
    </row>
    <row r="44" spans="2:13" ht="16.5" customHeight="1">
      <c r="B44" s="16" t="s">
        <v>46</v>
      </c>
      <c r="C44" s="7"/>
      <c r="D44" s="7"/>
      <c r="E44" s="8"/>
      <c r="F44" s="9"/>
      <c r="G44" s="7"/>
      <c r="H44" s="7"/>
      <c r="I44" s="7"/>
      <c r="J44" s="13"/>
      <c r="K44" s="219"/>
      <c r="L44" s="220"/>
      <c r="M44" s="219"/>
    </row>
    <row r="45" spans="2:13" ht="16.5" customHeight="1">
      <c r="B45" s="16" t="s">
        <v>314</v>
      </c>
      <c r="C45" s="37"/>
      <c r="D45" s="37"/>
      <c r="E45" s="37"/>
      <c r="F45" s="38"/>
      <c r="G45" s="39"/>
      <c r="H45" s="39"/>
      <c r="I45" s="39"/>
      <c r="J45" s="40"/>
      <c r="K45" s="219"/>
      <c r="L45" s="220"/>
      <c r="M45" s="219"/>
    </row>
    <row r="46" spans="2:13" ht="16.5" customHeight="1">
      <c r="B46" s="19" t="s">
        <v>348</v>
      </c>
      <c r="K46" s="219"/>
      <c r="L46" s="220"/>
      <c r="M46" s="219"/>
    </row>
    <row r="47" spans="11:13" ht="16.5" customHeight="1">
      <c r="K47" s="221"/>
      <c r="L47" s="220"/>
      <c r="M47" s="219"/>
    </row>
    <row r="48" spans="11:13" ht="16.5" customHeight="1">
      <c r="K48" s="221"/>
      <c r="L48" s="220"/>
      <c r="M48" s="219"/>
    </row>
    <row r="49" spans="2:13" ht="16.5" customHeight="1">
      <c r="B49" s="10"/>
      <c r="C49" s="7"/>
      <c r="D49" s="7"/>
      <c r="E49" s="8"/>
      <c r="F49" s="9"/>
      <c r="G49" s="34"/>
      <c r="H49" s="35"/>
      <c r="I49" s="35"/>
      <c r="J49" s="13"/>
      <c r="K49" s="219"/>
      <c r="L49" s="220"/>
      <c r="M49" s="219"/>
    </row>
    <row r="50" spans="2:13" ht="16.5" customHeight="1">
      <c r="B50" s="10"/>
      <c r="C50" s="7"/>
      <c r="D50" s="7"/>
      <c r="E50" s="8"/>
      <c r="F50" s="9"/>
      <c r="G50" s="34"/>
      <c r="H50" s="35"/>
      <c r="I50" s="35"/>
      <c r="J50" s="13"/>
      <c r="K50" s="219"/>
      <c r="L50" s="220"/>
      <c r="M50" s="219"/>
    </row>
    <row r="51" spans="2:13" ht="16.5" customHeight="1" thickBo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1:13" ht="16.5" customHeight="1" thickBot="1">
      <c r="A52" s="489"/>
      <c r="B52" s="489" t="s">
        <v>11</v>
      </c>
      <c r="C52" s="21" t="s">
        <v>12</v>
      </c>
      <c r="D52" s="494" t="s">
        <v>13</v>
      </c>
      <c r="E52" s="496" t="s">
        <v>14</v>
      </c>
      <c r="F52" s="494" t="s">
        <v>200</v>
      </c>
      <c r="G52" s="498" t="s">
        <v>15</v>
      </c>
      <c r="H52" s="499"/>
      <c r="I52" s="500"/>
      <c r="J52" s="21" t="s">
        <v>16</v>
      </c>
      <c r="K52" s="219"/>
      <c r="L52" s="220"/>
      <c r="M52" s="219"/>
    </row>
    <row r="53" spans="1:13" ht="15.75" thickBot="1">
      <c r="A53" s="490"/>
      <c r="B53" s="490"/>
      <c r="C53" s="23" t="s">
        <v>17</v>
      </c>
      <c r="D53" s="495"/>
      <c r="E53" s="497"/>
      <c r="F53" s="495"/>
      <c r="G53" s="23" t="s">
        <v>18</v>
      </c>
      <c r="H53" s="23" t="s">
        <v>19</v>
      </c>
      <c r="I53" s="23" t="s">
        <v>20</v>
      </c>
      <c r="J53" s="23" t="s">
        <v>21</v>
      </c>
      <c r="K53" s="219"/>
      <c r="L53" s="220"/>
      <c r="M53" s="219"/>
    </row>
    <row r="54" spans="1:13" ht="16.5" customHeight="1" thickBot="1">
      <c r="A54" s="147"/>
      <c r="B54" s="148" t="s">
        <v>22</v>
      </c>
      <c r="C54" s="149"/>
      <c r="D54" s="150"/>
      <c r="E54" s="151"/>
      <c r="F54" s="150"/>
      <c r="G54" s="150"/>
      <c r="H54" s="150"/>
      <c r="I54" s="150"/>
      <c r="J54" s="152"/>
      <c r="K54" s="219"/>
      <c r="L54" s="220"/>
      <c r="M54" s="219"/>
    </row>
    <row r="55" spans="1:13" ht="16.5" customHeight="1">
      <c r="A55" s="153" t="s">
        <v>47</v>
      </c>
      <c r="B55" s="153" t="s">
        <v>48</v>
      </c>
      <c r="C55" s="154" t="s">
        <v>49</v>
      </c>
      <c r="D55" s="155">
        <v>6.49</v>
      </c>
      <c r="E55" s="156">
        <v>30</v>
      </c>
      <c r="F55" s="155">
        <f>D55*E55%+D55</f>
        <v>8.437000000000001</v>
      </c>
      <c r="G55" s="155">
        <v>7.70142</v>
      </c>
      <c r="H55" s="155">
        <v>8.011519999999999</v>
      </c>
      <c r="I55" s="155">
        <v>33.972029</v>
      </c>
      <c r="J55" s="155">
        <v>238.79747600000002</v>
      </c>
      <c r="K55" s="219"/>
      <c r="L55" s="220"/>
      <c r="M55" s="219"/>
    </row>
    <row r="56" spans="1:13" ht="16.5" customHeight="1">
      <c r="A56" s="116" t="s">
        <v>50</v>
      </c>
      <c r="B56" s="116" t="s">
        <v>171</v>
      </c>
      <c r="C56" s="117" t="s">
        <v>52</v>
      </c>
      <c r="D56" s="118">
        <v>0.82</v>
      </c>
      <c r="E56" s="119">
        <v>30</v>
      </c>
      <c r="F56" s="118">
        <f>D56*E56%+D56</f>
        <v>1.0659999999999998</v>
      </c>
      <c r="G56" s="118">
        <v>0.188</v>
      </c>
      <c r="H56" s="118">
        <v>0.044879999999999996</v>
      </c>
      <c r="I56" s="118">
        <v>13.670020000000001</v>
      </c>
      <c r="J56" s="118">
        <v>55.836000000000006</v>
      </c>
      <c r="K56" s="219"/>
      <c r="L56" s="220"/>
      <c r="M56" s="219"/>
    </row>
    <row r="57" spans="1:13" ht="16.5" customHeight="1">
      <c r="A57" s="116"/>
      <c r="B57" s="116" t="s">
        <v>204</v>
      </c>
      <c r="C57" s="117">
        <v>30</v>
      </c>
      <c r="D57" s="118">
        <v>7.65</v>
      </c>
      <c r="E57" s="119">
        <v>30</v>
      </c>
      <c r="F57" s="118">
        <f>D57*E57%+D57</f>
        <v>9.945</v>
      </c>
      <c r="G57" s="117">
        <v>7.95</v>
      </c>
      <c r="H57" s="118">
        <v>7</v>
      </c>
      <c r="I57" s="118">
        <v>0</v>
      </c>
      <c r="J57" s="117">
        <v>94.77</v>
      </c>
      <c r="K57" s="219"/>
      <c r="L57" s="220"/>
      <c r="M57" s="219"/>
    </row>
    <row r="58" spans="1:13" ht="16.5" customHeight="1">
      <c r="A58" s="116"/>
      <c r="B58" s="116" t="s">
        <v>53</v>
      </c>
      <c r="C58" s="119">
        <v>30</v>
      </c>
      <c r="D58" s="118">
        <v>0.93</v>
      </c>
      <c r="E58" s="119">
        <v>30</v>
      </c>
      <c r="F58" s="118">
        <f>D58*E58%+D58</f>
        <v>1.209</v>
      </c>
      <c r="G58" s="118">
        <v>2.2278000000000002</v>
      </c>
      <c r="H58" s="118">
        <v>0.2112</v>
      </c>
      <c r="I58" s="118">
        <v>13.3224</v>
      </c>
      <c r="J58" s="118">
        <v>64.1016</v>
      </c>
      <c r="K58" s="219"/>
      <c r="L58" s="220"/>
      <c r="M58" s="219"/>
    </row>
    <row r="59" spans="1:13" ht="16.5" customHeight="1">
      <c r="A59" s="116"/>
      <c r="B59" s="116" t="s">
        <v>346</v>
      </c>
      <c r="C59" s="119">
        <v>200</v>
      </c>
      <c r="D59" s="118">
        <v>13</v>
      </c>
      <c r="E59" s="119">
        <v>30</v>
      </c>
      <c r="F59" s="118">
        <f>D59*E59%+D59</f>
        <v>16.9</v>
      </c>
      <c r="G59" s="118">
        <v>0.84</v>
      </c>
      <c r="H59" s="118">
        <v>0.59</v>
      </c>
      <c r="I59" s="118">
        <v>21</v>
      </c>
      <c r="J59" s="118">
        <v>92.67</v>
      </c>
      <c r="K59" s="219"/>
      <c r="L59" s="220"/>
      <c r="M59" s="219"/>
    </row>
    <row r="60" spans="1:13" ht="16.5" customHeight="1" thickBot="1">
      <c r="A60" s="123"/>
      <c r="B60" s="123" t="s">
        <v>226</v>
      </c>
      <c r="C60" s="123"/>
      <c r="D60" s="157">
        <f>SUM(D55:D59)</f>
        <v>28.89</v>
      </c>
      <c r="E60" s="157"/>
      <c r="F60" s="157">
        <f>SUM(F55:F59)</f>
        <v>37.557</v>
      </c>
      <c r="G60" s="157">
        <f>SUM(G55:G59)</f>
        <v>18.90722</v>
      </c>
      <c r="H60" s="157">
        <f>SUM(H55:H59)</f>
        <v>15.857599999999998</v>
      </c>
      <c r="I60" s="157">
        <f>SUM(I55:I59)</f>
        <v>81.964449</v>
      </c>
      <c r="J60" s="157">
        <f>SUM(J55:J59)</f>
        <v>546.175076</v>
      </c>
      <c r="K60" s="221">
        <f>J60*M60/L61</f>
        <v>23.24149259574468</v>
      </c>
      <c r="L60" s="220"/>
      <c r="M60" s="219">
        <v>100</v>
      </c>
    </row>
    <row r="61" spans="1:13" ht="16.5" customHeight="1" thickBot="1">
      <c r="A61" s="147"/>
      <c r="B61" s="148" t="s">
        <v>33</v>
      </c>
      <c r="C61" s="149"/>
      <c r="D61" s="150">
        <f>SUM(D55:D59)</f>
        <v>28.89</v>
      </c>
      <c r="E61" s="151"/>
      <c r="F61" s="150"/>
      <c r="G61" s="150"/>
      <c r="H61" s="150"/>
      <c r="I61" s="150"/>
      <c r="J61" s="152"/>
      <c r="K61" s="219"/>
      <c r="L61" s="220">
        <v>2350</v>
      </c>
      <c r="M61" s="219"/>
    </row>
    <row r="62" spans="1:13" ht="16.5" customHeight="1">
      <c r="A62" s="153" t="s">
        <v>54</v>
      </c>
      <c r="B62" s="153" t="s">
        <v>55</v>
      </c>
      <c r="C62" s="156">
        <v>100</v>
      </c>
      <c r="D62" s="155">
        <v>5.76</v>
      </c>
      <c r="E62" s="156">
        <v>30</v>
      </c>
      <c r="F62" s="155">
        <f aca="true" t="shared" si="0" ref="F62:F68">D62*E62%+D62</f>
        <v>7.4879999999999995</v>
      </c>
      <c r="G62" s="155">
        <v>1.4</v>
      </c>
      <c r="H62" s="155">
        <v>10.1</v>
      </c>
      <c r="I62" s="155">
        <v>6.8</v>
      </c>
      <c r="J62" s="155">
        <v>124</v>
      </c>
      <c r="K62" s="219"/>
      <c r="L62" s="220"/>
      <c r="M62" s="219"/>
    </row>
    <row r="63" spans="1:13" ht="16.5" customHeight="1">
      <c r="A63" s="116" t="s">
        <v>56</v>
      </c>
      <c r="B63" s="116" t="s">
        <v>57</v>
      </c>
      <c r="C63" s="117" t="s">
        <v>36</v>
      </c>
      <c r="D63" s="118">
        <v>14.71</v>
      </c>
      <c r="E63" s="119">
        <v>30</v>
      </c>
      <c r="F63" s="118">
        <f t="shared" si="0"/>
        <v>19.123</v>
      </c>
      <c r="G63" s="118">
        <v>6.29</v>
      </c>
      <c r="H63" s="118">
        <v>8.32</v>
      </c>
      <c r="I63" s="118">
        <v>9.18</v>
      </c>
      <c r="J63" s="118">
        <v>161.08</v>
      </c>
      <c r="K63" s="219"/>
      <c r="L63" s="220"/>
      <c r="M63" s="219"/>
    </row>
    <row r="64" spans="1:13" ht="16.5" customHeight="1">
      <c r="A64" s="116" t="s">
        <v>58</v>
      </c>
      <c r="B64" s="116" t="s">
        <v>205</v>
      </c>
      <c r="C64" s="117" t="s">
        <v>26</v>
      </c>
      <c r="D64" s="118">
        <v>7.86</v>
      </c>
      <c r="E64" s="119">
        <v>30</v>
      </c>
      <c r="F64" s="118">
        <f t="shared" si="0"/>
        <v>10.218</v>
      </c>
      <c r="G64" s="118">
        <v>9.75</v>
      </c>
      <c r="H64" s="118">
        <v>5.8</v>
      </c>
      <c r="I64" s="118">
        <v>15.2</v>
      </c>
      <c r="J64" s="118">
        <v>196</v>
      </c>
      <c r="K64" s="219"/>
      <c r="L64" s="220"/>
      <c r="M64" s="219"/>
    </row>
    <row r="65" spans="1:13" ht="16.5" customHeight="1">
      <c r="A65" s="116" t="s">
        <v>60</v>
      </c>
      <c r="B65" s="116" t="s">
        <v>61</v>
      </c>
      <c r="C65" s="117">
        <v>150</v>
      </c>
      <c r="D65" s="118">
        <v>2.76</v>
      </c>
      <c r="E65" s="119">
        <v>30</v>
      </c>
      <c r="F65" s="118">
        <f t="shared" si="0"/>
        <v>3.5879999999999996</v>
      </c>
      <c r="G65" s="118">
        <v>3.75</v>
      </c>
      <c r="H65" s="118">
        <v>6.15</v>
      </c>
      <c r="I65" s="118">
        <v>38.55</v>
      </c>
      <c r="J65" s="118">
        <v>228</v>
      </c>
      <c r="K65" s="219"/>
      <c r="L65" s="220"/>
      <c r="M65" s="219"/>
    </row>
    <row r="66" spans="1:13" ht="16.5" customHeight="1">
      <c r="A66" s="116"/>
      <c r="B66" s="116" t="s">
        <v>62</v>
      </c>
      <c r="C66" s="158" t="s">
        <v>40</v>
      </c>
      <c r="D66" s="118">
        <v>1.54</v>
      </c>
      <c r="E66" s="119">
        <v>30</v>
      </c>
      <c r="F66" s="118">
        <f t="shared" si="0"/>
        <v>2.002</v>
      </c>
      <c r="G66" s="118">
        <v>3.4075</v>
      </c>
      <c r="H66" s="118">
        <v>0.44</v>
      </c>
      <c r="I66" s="118">
        <v>19.11</v>
      </c>
      <c r="J66" s="118">
        <v>94.02999999999999</v>
      </c>
      <c r="K66" s="219"/>
      <c r="L66" s="220"/>
      <c r="M66" s="219"/>
    </row>
    <row r="67" spans="1:13" ht="16.5" customHeight="1">
      <c r="A67" s="109" t="s">
        <v>343</v>
      </c>
      <c r="B67" s="109" t="s">
        <v>83</v>
      </c>
      <c r="C67" s="115">
        <v>200</v>
      </c>
      <c r="D67" s="111">
        <v>5.76</v>
      </c>
      <c r="E67" s="110">
        <v>30</v>
      </c>
      <c r="F67" s="106">
        <f t="shared" si="0"/>
        <v>7.4879999999999995</v>
      </c>
      <c r="G67" s="111">
        <v>2.5</v>
      </c>
      <c r="H67" s="111">
        <v>3.6</v>
      </c>
      <c r="I67" s="111">
        <v>28.7</v>
      </c>
      <c r="J67" s="111">
        <v>152</v>
      </c>
      <c r="K67" s="219"/>
      <c r="L67" s="220"/>
      <c r="M67" s="219"/>
    </row>
    <row r="68" spans="1:13" ht="16.5" customHeight="1" thickBot="1">
      <c r="A68" s="160"/>
      <c r="B68" s="160" t="s">
        <v>157</v>
      </c>
      <c r="C68" s="161">
        <v>150</v>
      </c>
      <c r="D68" s="162">
        <v>11.76</v>
      </c>
      <c r="E68" s="163">
        <v>30</v>
      </c>
      <c r="F68" s="162">
        <f t="shared" si="0"/>
        <v>15.288</v>
      </c>
      <c r="G68" s="162">
        <v>1.2</v>
      </c>
      <c r="H68" s="162">
        <v>0.32</v>
      </c>
      <c r="I68" s="162">
        <v>10.5</v>
      </c>
      <c r="J68" s="162">
        <v>93</v>
      </c>
      <c r="K68" s="219"/>
      <c r="L68" s="220"/>
      <c r="M68" s="219"/>
    </row>
    <row r="69" spans="1:13" ht="15.75" customHeight="1" thickBot="1">
      <c r="A69" s="31"/>
      <c r="B69" s="27" t="s">
        <v>226</v>
      </c>
      <c r="C69" s="32"/>
      <c r="D69" s="24">
        <f>SUM(D62:D68)</f>
        <v>50.14999999999999</v>
      </c>
      <c r="E69" s="24"/>
      <c r="F69" s="24">
        <f>SUM(F62:F68)</f>
        <v>65.19500000000001</v>
      </c>
      <c r="G69" s="24">
        <f>SUM(G62:G68)</f>
        <v>28.297499999999996</v>
      </c>
      <c r="H69" s="24">
        <f>SUM(H62:H68)</f>
        <v>34.730000000000004</v>
      </c>
      <c r="I69" s="24">
        <f>SUM(I62:I68)</f>
        <v>128.04</v>
      </c>
      <c r="J69" s="24">
        <f>SUM(J62:J68)</f>
        <v>1048.1100000000001</v>
      </c>
      <c r="K69" s="221">
        <f>J69*M69/L61</f>
        <v>44.6004255319149</v>
      </c>
      <c r="M69" s="6">
        <v>100</v>
      </c>
    </row>
    <row r="70" spans="1:13" ht="16.5" customHeight="1" thickBot="1">
      <c r="A70" s="26"/>
      <c r="B70" s="26" t="s">
        <v>321</v>
      </c>
      <c r="C70" s="27"/>
      <c r="D70" s="33">
        <f>D69+D60</f>
        <v>79.03999999999999</v>
      </c>
      <c r="E70" s="33"/>
      <c r="F70" s="33">
        <f>F69+F60</f>
        <v>102.75200000000001</v>
      </c>
      <c r="G70" s="33">
        <f>G69+G60</f>
        <v>47.204719999999995</v>
      </c>
      <c r="H70" s="33">
        <f>H69+H60</f>
        <v>50.5876</v>
      </c>
      <c r="I70" s="33">
        <f>I69+I60</f>
        <v>210.004449</v>
      </c>
      <c r="J70" s="33">
        <f>J69+J60</f>
        <v>1594.2850760000001</v>
      </c>
      <c r="K70" s="219"/>
      <c r="L70" s="220"/>
      <c r="M70" s="219"/>
    </row>
    <row r="71" spans="11:13" ht="16.5" customHeight="1">
      <c r="K71" s="219"/>
      <c r="L71" s="220"/>
      <c r="M71" s="219"/>
    </row>
    <row r="72" spans="2:13" ht="16.5" customHeight="1">
      <c r="B72" s="10"/>
      <c r="C72" s="7"/>
      <c r="D72" s="7"/>
      <c r="E72" s="8"/>
      <c r="F72" s="9"/>
      <c r="G72" s="7"/>
      <c r="H72" s="7"/>
      <c r="I72" s="7"/>
      <c r="J72" s="13"/>
      <c r="K72" s="219"/>
      <c r="L72" s="220"/>
      <c r="M72" s="219"/>
    </row>
    <row r="73" spans="2:13" ht="16.5" customHeight="1">
      <c r="B73" s="10"/>
      <c r="C73" s="7"/>
      <c r="D73" s="7"/>
      <c r="E73" s="8"/>
      <c r="F73" s="9"/>
      <c r="G73" s="7"/>
      <c r="H73" s="7"/>
      <c r="I73" s="7"/>
      <c r="J73" s="13"/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6" t="s">
        <v>63</v>
      </c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6" t="s">
        <v>64</v>
      </c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314</v>
      </c>
      <c r="C85" s="41"/>
      <c r="D85" s="41"/>
      <c r="E85" s="42"/>
      <c r="F85" s="40"/>
      <c r="G85" s="43"/>
      <c r="H85" s="43"/>
      <c r="I85" s="43"/>
      <c r="J85" s="41"/>
      <c r="K85" s="219"/>
      <c r="L85" s="220"/>
      <c r="M85" s="219"/>
    </row>
    <row r="86" spans="2:13" ht="16.5" customHeight="1">
      <c r="B86" s="19" t="s">
        <v>348</v>
      </c>
      <c r="K86" s="219"/>
      <c r="L86" s="220"/>
      <c r="M86" s="219"/>
    </row>
    <row r="87" spans="2:13" ht="16.5" customHeight="1">
      <c r="B87" s="20"/>
      <c r="K87" s="219"/>
      <c r="L87" s="220"/>
      <c r="M87" s="219"/>
    </row>
    <row r="88" spans="2:13" ht="16.5" customHeight="1">
      <c r="B88" s="20"/>
      <c r="K88" s="219"/>
      <c r="L88" s="220"/>
      <c r="M88" s="219"/>
    </row>
    <row r="89" spans="2:13" ht="16.5" customHeight="1" thickBot="1">
      <c r="B89" s="20"/>
      <c r="K89" s="219"/>
      <c r="L89" s="220"/>
      <c r="M89" s="219"/>
    </row>
    <row r="90" spans="1:13" ht="16.5" customHeight="1" thickBot="1">
      <c r="A90" s="489"/>
      <c r="B90" s="489" t="s">
        <v>11</v>
      </c>
      <c r="C90" s="21" t="s">
        <v>12</v>
      </c>
      <c r="D90" s="494" t="s">
        <v>13</v>
      </c>
      <c r="E90" s="496" t="s">
        <v>14</v>
      </c>
      <c r="F90" s="494" t="s">
        <v>200</v>
      </c>
      <c r="G90" s="498" t="s">
        <v>15</v>
      </c>
      <c r="H90" s="499"/>
      <c r="I90" s="500"/>
      <c r="J90" s="21" t="s">
        <v>16</v>
      </c>
      <c r="K90" s="219"/>
      <c r="L90" s="220"/>
      <c r="M90" s="219"/>
    </row>
    <row r="91" spans="1:13" ht="28.5" customHeight="1" thickBot="1">
      <c r="A91" s="490"/>
      <c r="B91" s="490"/>
      <c r="C91" s="23" t="s">
        <v>17</v>
      </c>
      <c r="D91" s="495"/>
      <c r="E91" s="497"/>
      <c r="F91" s="495"/>
      <c r="G91" s="23" t="s">
        <v>18</v>
      </c>
      <c r="H91" s="23" t="s">
        <v>19</v>
      </c>
      <c r="I91" s="23" t="s">
        <v>20</v>
      </c>
      <c r="J91" s="23" t="s">
        <v>21</v>
      </c>
      <c r="K91" s="219"/>
      <c r="L91" s="220"/>
      <c r="M91" s="219"/>
    </row>
    <row r="92" spans="1:13" ht="16.5" customHeight="1" thickBot="1">
      <c r="A92" s="141"/>
      <c r="B92" s="142" t="s">
        <v>22</v>
      </c>
      <c r="C92" s="143"/>
      <c r="D92" s="144"/>
      <c r="E92" s="145"/>
      <c r="F92" s="144"/>
      <c r="G92" s="144"/>
      <c r="H92" s="144"/>
      <c r="I92" s="144"/>
      <c r="J92" s="146"/>
      <c r="K92" s="219"/>
      <c r="L92" s="220"/>
      <c r="M92" s="219"/>
    </row>
    <row r="93" spans="1:13" ht="16.5" customHeight="1">
      <c r="A93" s="153" t="s">
        <v>65</v>
      </c>
      <c r="B93" s="153" t="s">
        <v>66</v>
      </c>
      <c r="C93" s="154" t="s">
        <v>67</v>
      </c>
      <c r="D93" s="155">
        <v>36.51</v>
      </c>
      <c r="E93" s="156">
        <v>30</v>
      </c>
      <c r="F93" s="155">
        <f>D93*E93%+D93</f>
        <v>47.462999999999994</v>
      </c>
      <c r="G93" s="155">
        <v>17.757070000000002</v>
      </c>
      <c r="H93" s="155">
        <v>12.47598</v>
      </c>
      <c r="I93" s="155">
        <v>25.680655</v>
      </c>
      <c r="J93" s="155">
        <v>286.03472</v>
      </c>
      <c r="K93" s="219"/>
      <c r="L93" s="220"/>
      <c r="M93" s="219"/>
    </row>
    <row r="94" spans="1:13" ht="16.5" customHeight="1">
      <c r="A94" s="109" t="s">
        <v>308</v>
      </c>
      <c r="B94" s="109" t="s">
        <v>307</v>
      </c>
      <c r="C94" s="112">
        <v>200</v>
      </c>
      <c r="D94" s="111">
        <v>7.3</v>
      </c>
      <c r="E94" s="110">
        <v>30</v>
      </c>
      <c r="F94" s="106">
        <f>D94*E94%+D94</f>
        <v>9.49</v>
      </c>
      <c r="G94" s="111">
        <v>4.85792</v>
      </c>
      <c r="H94" s="111">
        <v>4.84</v>
      </c>
      <c r="I94" s="111">
        <v>25.93136</v>
      </c>
      <c r="J94" s="111">
        <v>166.71712000000002</v>
      </c>
      <c r="K94" s="219"/>
      <c r="L94" s="220"/>
      <c r="M94" s="219"/>
    </row>
    <row r="95" spans="1:13" ht="16.5" customHeight="1">
      <c r="A95" s="116"/>
      <c r="B95" s="116" t="s">
        <v>201</v>
      </c>
      <c r="C95" s="117" t="s">
        <v>202</v>
      </c>
      <c r="D95" s="118">
        <v>3.95</v>
      </c>
      <c r="E95" s="119">
        <v>30</v>
      </c>
      <c r="F95" s="118">
        <f>D95*E95%+D95</f>
        <v>5.135</v>
      </c>
      <c r="G95" s="111">
        <v>4.78</v>
      </c>
      <c r="H95" s="111">
        <v>4.05</v>
      </c>
      <c r="I95" s="111">
        <v>0.25</v>
      </c>
      <c r="J95" s="111">
        <v>56.55</v>
      </c>
      <c r="K95" s="219"/>
      <c r="L95" s="220"/>
      <c r="M95" s="219"/>
    </row>
    <row r="96" spans="1:13" ht="16.5" customHeight="1">
      <c r="A96" s="116"/>
      <c r="B96" s="116" t="s">
        <v>53</v>
      </c>
      <c r="C96" s="119">
        <v>30</v>
      </c>
      <c r="D96" s="118">
        <v>0.93</v>
      </c>
      <c r="E96" s="119">
        <v>30</v>
      </c>
      <c r="F96" s="118">
        <f>D96*E96%+D96</f>
        <v>1.209</v>
      </c>
      <c r="G96" s="118">
        <v>2.2278000000000002</v>
      </c>
      <c r="H96" s="118">
        <v>0.2112</v>
      </c>
      <c r="I96" s="118">
        <v>13.3224</v>
      </c>
      <c r="J96" s="118">
        <v>64.1016</v>
      </c>
      <c r="K96" s="219"/>
      <c r="L96" s="220"/>
      <c r="M96" s="219"/>
    </row>
    <row r="97" spans="1:13" ht="16.5" customHeight="1" thickBot="1">
      <c r="A97" s="164"/>
      <c r="B97" s="164" t="s">
        <v>226</v>
      </c>
      <c r="C97" s="165"/>
      <c r="D97" s="166">
        <f>SUM(D93:D96)</f>
        <v>48.69</v>
      </c>
      <c r="E97" s="165"/>
      <c r="F97" s="166">
        <f>SUM(F93:F96)</f>
        <v>63.297</v>
      </c>
      <c r="G97" s="166">
        <f>SUM(G93:G96)</f>
        <v>29.622790000000002</v>
      </c>
      <c r="H97" s="166">
        <f>SUM(H93:H96)</f>
        <v>21.577180000000002</v>
      </c>
      <c r="I97" s="166">
        <f>SUM(I93:I96)</f>
        <v>65.184415</v>
      </c>
      <c r="J97" s="166">
        <f>SUM(J93:J96)</f>
        <v>573.40344</v>
      </c>
      <c r="K97" s="221">
        <f>J97*M97/L98</f>
        <v>24.400146382978726</v>
      </c>
      <c r="L97" s="220"/>
      <c r="M97" s="219">
        <v>100</v>
      </c>
    </row>
    <row r="98" spans="1:13" ht="16.5" customHeight="1" thickBot="1">
      <c r="A98" s="135"/>
      <c r="B98" s="136" t="s">
        <v>33</v>
      </c>
      <c r="C98" s="137"/>
      <c r="D98" s="138"/>
      <c r="E98" s="139"/>
      <c r="F98" s="138"/>
      <c r="G98" s="138"/>
      <c r="H98" s="138"/>
      <c r="I98" s="138"/>
      <c r="J98" s="140"/>
      <c r="K98" s="219"/>
      <c r="L98" s="220">
        <v>2350</v>
      </c>
      <c r="M98" s="219"/>
    </row>
    <row r="99" spans="1:13" ht="16.5" customHeight="1">
      <c r="A99" s="153" t="s">
        <v>309</v>
      </c>
      <c r="B99" s="170" t="s">
        <v>294</v>
      </c>
      <c r="C99" s="185">
        <v>25</v>
      </c>
      <c r="D99" s="168">
        <v>2.66</v>
      </c>
      <c r="E99" s="171">
        <v>30</v>
      </c>
      <c r="F99" s="155">
        <f aca="true" t="shared" si="1" ref="F99:F105">D99*E99%+D99</f>
        <v>3.458</v>
      </c>
      <c r="G99" s="155">
        <v>0.26</v>
      </c>
      <c r="H99" s="155">
        <v>0.04</v>
      </c>
      <c r="I99" s="155">
        <v>1.05</v>
      </c>
      <c r="J99" s="155">
        <v>50.62</v>
      </c>
      <c r="K99" s="219"/>
      <c r="L99" s="220"/>
      <c r="M99" s="219"/>
    </row>
    <row r="100" spans="1:13" ht="16.5" customHeight="1">
      <c r="A100" s="116" t="s">
        <v>310</v>
      </c>
      <c r="B100" s="116" t="s">
        <v>288</v>
      </c>
      <c r="C100" s="117" t="s">
        <v>36</v>
      </c>
      <c r="D100" s="118">
        <v>6.1</v>
      </c>
      <c r="E100" s="119">
        <v>30</v>
      </c>
      <c r="F100" s="118">
        <f t="shared" si="1"/>
        <v>7.93</v>
      </c>
      <c r="G100" s="118">
        <v>5.32</v>
      </c>
      <c r="H100" s="118">
        <v>5.32</v>
      </c>
      <c r="I100" s="118">
        <v>27.85</v>
      </c>
      <c r="J100" s="118">
        <v>184</v>
      </c>
      <c r="K100" s="219"/>
      <c r="L100" s="220"/>
      <c r="M100" s="219"/>
    </row>
    <row r="101" spans="1:13" ht="16.5" customHeight="1">
      <c r="A101" s="116" t="s">
        <v>210</v>
      </c>
      <c r="B101" s="116" t="s">
        <v>206</v>
      </c>
      <c r="C101" s="117" t="s">
        <v>169</v>
      </c>
      <c r="D101" s="118">
        <v>10.45</v>
      </c>
      <c r="E101" s="119">
        <v>30</v>
      </c>
      <c r="F101" s="118">
        <f t="shared" si="1"/>
        <v>13.584999999999999</v>
      </c>
      <c r="G101" s="118">
        <v>5.73</v>
      </c>
      <c r="H101" s="118">
        <v>7.73</v>
      </c>
      <c r="I101" s="118">
        <v>6.75</v>
      </c>
      <c r="J101" s="118">
        <v>183</v>
      </c>
      <c r="K101" s="223"/>
      <c r="L101" s="220"/>
      <c r="M101" s="219"/>
    </row>
    <row r="102" spans="1:15" ht="16.5" customHeight="1">
      <c r="A102" s="109" t="s">
        <v>311</v>
      </c>
      <c r="B102" s="109" t="s">
        <v>91</v>
      </c>
      <c r="C102" s="169">
        <v>150</v>
      </c>
      <c r="D102" s="106">
        <v>2.92</v>
      </c>
      <c r="E102" s="107">
        <v>30</v>
      </c>
      <c r="F102" s="106">
        <f t="shared" si="1"/>
        <v>3.796</v>
      </c>
      <c r="G102" s="106">
        <v>8.4</v>
      </c>
      <c r="H102" s="106">
        <v>10.8</v>
      </c>
      <c r="I102" s="106">
        <v>41.25</v>
      </c>
      <c r="J102" s="106">
        <v>280.5</v>
      </c>
      <c r="K102" s="224"/>
      <c r="L102" s="225"/>
      <c r="M102" s="224"/>
      <c r="N102" s="47"/>
      <c r="O102" s="47"/>
    </row>
    <row r="103" spans="1:13" ht="16.5" customHeight="1">
      <c r="A103" s="116"/>
      <c r="B103" s="116" t="s">
        <v>71</v>
      </c>
      <c r="C103" s="120" t="s">
        <v>40</v>
      </c>
      <c r="D103" s="111">
        <v>2.58</v>
      </c>
      <c r="E103" s="119">
        <v>30</v>
      </c>
      <c r="F103" s="118">
        <f t="shared" si="1"/>
        <v>3.354</v>
      </c>
      <c r="G103" s="111">
        <v>3.2</v>
      </c>
      <c r="H103" s="111">
        <v>0.32</v>
      </c>
      <c r="I103" s="111">
        <v>27.46</v>
      </c>
      <c r="J103" s="111">
        <v>74.3</v>
      </c>
      <c r="K103" s="219"/>
      <c r="L103" s="220"/>
      <c r="M103" s="219"/>
    </row>
    <row r="104" spans="1:13" ht="16.5" customHeight="1">
      <c r="A104" s="116" t="s">
        <v>313</v>
      </c>
      <c r="B104" s="116" t="s">
        <v>312</v>
      </c>
      <c r="C104" s="159">
        <v>200</v>
      </c>
      <c r="D104" s="118">
        <v>1.96</v>
      </c>
      <c r="E104" s="119">
        <v>30</v>
      </c>
      <c r="F104" s="118">
        <f t="shared" si="1"/>
        <v>2.548</v>
      </c>
      <c r="G104" s="118">
        <v>0.64</v>
      </c>
      <c r="H104" s="118">
        <v>0</v>
      </c>
      <c r="I104" s="118">
        <v>24.65</v>
      </c>
      <c r="J104" s="118">
        <v>100.76</v>
      </c>
      <c r="K104" s="219"/>
      <c r="L104" s="220"/>
      <c r="M104" s="219"/>
    </row>
    <row r="105" spans="1:13" ht="16.5" customHeight="1" thickBot="1">
      <c r="A105" s="160"/>
      <c r="B105" s="160" t="s">
        <v>349</v>
      </c>
      <c r="C105" s="161">
        <v>50</v>
      </c>
      <c r="D105" s="162">
        <v>6.3</v>
      </c>
      <c r="E105" s="163">
        <v>30</v>
      </c>
      <c r="F105" s="162">
        <f t="shared" si="1"/>
        <v>8.19</v>
      </c>
      <c r="G105" s="118">
        <v>1.27</v>
      </c>
      <c r="H105" s="118">
        <v>0.26</v>
      </c>
      <c r="I105" s="118">
        <v>12.83</v>
      </c>
      <c r="J105" s="118">
        <v>58.78</v>
      </c>
      <c r="K105" s="219"/>
      <c r="L105" s="220"/>
      <c r="M105" s="219"/>
    </row>
    <row r="106" spans="1:13" ht="16.5" customHeight="1" thickBot="1">
      <c r="A106" s="31"/>
      <c r="B106" s="27" t="s">
        <v>226</v>
      </c>
      <c r="C106" s="32"/>
      <c r="D106" s="24">
        <f>SUM(D99:D105)</f>
        <v>32.97</v>
      </c>
      <c r="E106" s="24"/>
      <c r="F106" s="24">
        <f>SUM(F99:F105)</f>
        <v>42.861</v>
      </c>
      <c r="G106" s="24">
        <f>SUM(G99:G105)</f>
        <v>24.82</v>
      </c>
      <c r="H106" s="24">
        <f>SUM(H99:H105)</f>
        <v>24.470000000000002</v>
      </c>
      <c r="I106" s="24">
        <f>SUM(I99:I105)</f>
        <v>141.84000000000003</v>
      </c>
      <c r="J106" s="24">
        <f>SUM(J99:J105)</f>
        <v>931.9599999999999</v>
      </c>
      <c r="K106" s="221">
        <f>J106*M97/L98</f>
        <v>39.65787234042553</v>
      </c>
      <c r="L106" s="48" t="s">
        <v>74</v>
      </c>
      <c r="M106" s="219"/>
    </row>
    <row r="107" spans="1:13" ht="16.5" customHeight="1" thickBot="1">
      <c r="A107" s="26"/>
      <c r="B107" s="26" t="s">
        <v>233</v>
      </c>
      <c r="C107" s="27"/>
      <c r="D107" s="33">
        <f>D106+D97</f>
        <v>81.66</v>
      </c>
      <c r="E107" s="33"/>
      <c r="F107" s="33">
        <f>F106+F97</f>
        <v>106.15799999999999</v>
      </c>
      <c r="G107" s="49">
        <f>G97+G106</f>
        <v>54.44279</v>
      </c>
      <c r="H107" s="49">
        <f>H97+H106</f>
        <v>46.047180000000004</v>
      </c>
      <c r="I107" s="49">
        <f>I97+I106</f>
        <v>207.02441500000003</v>
      </c>
      <c r="J107" s="49">
        <f>J97+J106</f>
        <v>1505.36344</v>
      </c>
      <c r="K107" s="221">
        <f>J107*M97/L98</f>
        <v>64.05801872340426</v>
      </c>
      <c r="L107" s="220"/>
      <c r="M107" s="219"/>
    </row>
    <row r="108" spans="2:13" ht="16.5" customHeight="1">
      <c r="B108" s="10"/>
      <c r="C108" s="7"/>
      <c r="D108" s="7"/>
      <c r="E108" s="8"/>
      <c r="F108" s="9"/>
      <c r="G108" s="34"/>
      <c r="H108" s="35"/>
      <c r="I108" s="35"/>
      <c r="J108" s="13"/>
      <c r="K108" s="219"/>
      <c r="L108" s="220"/>
      <c r="M108" s="219"/>
    </row>
    <row r="109" spans="11:13" ht="16.5" customHeight="1">
      <c r="K109" s="219"/>
      <c r="L109" s="220"/>
      <c r="M109" s="219"/>
    </row>
    <row r="110" spans="11:13" ht="16.5" customHeight="1">
      <c r="K110" s="219"/>
      <c r="L110" s="220"/>
      <c r="M110" s="219"/>
    </row>
    <row r="111" spans="2:13" ht="16.5" customHeight="1">
      <c r="B111" s="10"/>
      <c r="C111" s="7"/>
      <c r="D111" s="7"/>
      <c r="E111" s="8"/>
      <c r="F111" s="9"/>
      <c r="G111" s="7"/>
      <c r="H111" s="7"/>
      <c r="I111" s="7"/>
      <c r="J111" s="13"/>
      <c r="K111" s="219"/>
      <c r="L111" s="220"/>
      <c r="M111" s="219"/>
    </row>
    <row r="112" spans="2:13" ht="16.5" customHeight="1">
      <c r="B112" s="10"/>
      <c r="C112" s="7"/>
      <c r="D112" s="7"/>
      <c r="E112" s="8"/>
      <c r="F112" s="9"/>
      <c r="G112" s="7"/>
      <c r="H112" s="7"/>
      <c r="I112" s="7"/>
      <c r="J112" s="13"/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ht="16.5" customHeight="1">
      <c r="B123" s="16" t="s">
        <v>75</v>
      </c>
    </row>
    <row r="124" ht="16.5" customHeight="1">
      <c r="B124" s="16" t="s">
        <v>46</v>
      </c>
    </row>
    <row r="125" ht="16.5" customHeight="1">
      <c r="B125" s="16" t="s">
        <v>314</v>
      </c>
    </row>
    <row r="126" ht="16.5" customHeight="1">
      <c r="B126" s="19" t="s">
        <v>348</v>
      </c>
    </row>
    <row r="127" spans="2:13" ht="16.5" customHeight="1">
      <c r="B127" s="19"/>
      <c r="C127" s="19"/>
      <c r="D127" s="19"/>
      <c r="E127" s="50"/>
      <c r="F127" s="51"/>
      <c r="G127" s="19"/>
      <c r="H127" s="19"/>
      <c r="I127" s="19"/>
      <c r="J127" s="19"/>
      <c r="K127" s="19"/>
      <c r="L127" s="19"/>
      <c r="M127" s="19"/>
    </row>
    <row r="128" spans="2:13" ht="16.5" customHeight="1">
      <c r="B128" s="19"/>
      <c r="K128" s="19"/>
      <c r="L128" s="19"/>
      <c r="M128" s="19"/>
    </row>
    <row r="129" ht="16.5" customHeight="1" thickBot="1">
      <c r="B129" s="19"/>
    </row>
    <row r="130" spans="1:10" ht="16.5" customHeight="1" thickBot="1">
      <c r="A130" s="489"/>
      <c r="B130" s="489" t="s">
        <v>11</v>
      </c>
      <c r="C130" s="21" t="s">
        <v>12</v>
      </c>
      <c r="D130" s="494" t="s">
        <v>13</v>
      </c>
      <c r="E130" s="496" t="s">
        <v>14</v>
      </c>
      <c r="F130" s="494" t="s">
        <v>200</v>
      </c>
      <c r="G130" s="498" t="s">
        <v>15</v>
      </c>
      <c r="H130" s="499"/>
      <c r="I130" s="500"/>
      <c r="J130" s="21" t="s">
        <v>16</v>
      </c>
    </row>
    <row r="131" spans="1:10" ht="24.75" customHeight="1" thickBot="1">
      <c r="A131" s="490"/>
      <c r="B131" s="490"/>
      <c r="C131" s="23" t="s">
        <v>17</v>
      </c>
      <c r="D131" s="495"/>
      <c r="E131" s="497"/>
      <c r="F131" s="495"/>
      <c r="G131" s="23" t="s">
        <v>18</v>
      </c>
      <c r="H131" s="23" t="s">
        <v>19</v>
      </c>
      <c r="I131" s="23" t="s">
        <v>20</v>
      </c>
      <c r="J131" s="23" t="s">
        <v>21</v>
      </c>
    </row>
    <row r="132" spans="1:10" ht="16.5" customHeight="1" thickBot="1">
      <c r="A132" s="147"/>
      <c r="B132" s="148" t="s">
        <v>22</v>
      </c>
      <c r="C132" s="149"/>
      <c r="D132" s="150"/>
      <c r="E132" s="151"/>
      <c r="F132" s="150"/>
      <c r="G132" s="150"/>
      <c r="H132" s="150"/>
      <c r="I132" s="150"/>
      <c r="J132" s="152"/>
    </row>
    <row r="133" spans="1:10" ht="16.5" customHeight="1">
      <c r="A133" s="170"/>
      <c r="B133" s="170" t="s">
        <v>76</v>
      </c>
      <c r="C133" s="167">
        <v>25</v>
      </c>
      <c r="D133" s="168">
        <v>3.13</v>
      </c>
      <c r="E133" s="171">
        <v>30</v>
      </c>
      <c r="F133" s="168">
        <f>D133*E133%+D133</f>
        <v>4.069</v>
      </c>
      <c r="G133" s="168">
        <v>1.83</v>
      </c>
      <c r="H133" s="168">
        <v>0.57</v>
      </c>
      <c r="I133" s="168">
        <v>10.33</v>
      </c>
      <c r="J133" s="168">
        <v>53.79</v>
      </c>
    </row>
    <row r="134" spans="1:10" ht="16.5" customHeight="1">
      <c r="A134" s="109" t="s">
        <v>77</v>
      </c>
      <c r="B134" s="109" t="s">
        <v>78</v>
      </c>
      <c r="C134" s="105" t="s">
        <v>26</v>
      </c>
      <c r="D134" s="106">
        <v>15.53</v>
      </c>
      <c r="E134" s="107">
        <v>30</v>
      </c>
      <c r="F134" s="106">
        <f>D134*E134%+D134</f>
        <v>20.189</v>
      </c>
      <c r="G134" s="106">
        <v>12.4</v>
      </c>
      <c r="H134" s="106">
        <v>16.45</v>
      </c>
      <c r="I134" s="106">
        <v>10.76</v>
      </c>
      <c r="J134" s="106">
        <v>120.69</v>
      </c>
    </row>
    <row r="135" spans="1:13" ht="16.5" customHeight="1">
      <c r="A135" s="109" t="s">
        <v>79</v>
      </c>
      <c r="B135" s="109" t="s">
        <v>80</v>
      </c>
      <c r="C135" s="169">
        <v>150</v>
      </c>
      <c r="D135" s="106">
        <v>4.8</v>
      </c>
      <c r="E135" s="107">
        <v>30</v>
      </c>
      <c r="F135" s="106">
        <f>D135*E135%+D135</f>
        <v>6.24</v>
      </c>
      <c r="G135" s="111">
        <v>3.15</v>
      </c>
      <c r="H135" s="111">
        <v>6.75</v>
      </c>
      <c r="I135" s="111">
        <v>21.9</v>
      </c>
      <c r="J135" s="111">
        <v>163.5</v>
      </c>
      <c r="K135" s="219"/>
      <c r="L135" s="220"/>
      <c r="M135" s="219"/>
    </row>
    <row r="136" spans="1:10" ht="16.5" customHeight="1">
      <c r="A136" s="109"/>
      <c r="B136" s="109" t="s">
        <v>81</v>
      </c>
      <c r="C136" s="110">
        <v>30</v>
      </c>
      <c r="D136" s="111">
        <v>0.92</v>
      </c>
      <c r="E136" s="110">
        <v>30</v>
      </c>
      <c r="F136" s="106">
        <f>D136*E136%+D136</f>
        <v>1.1960000000000002</v>
      </c>
      <c r="G136" s="111">
        <v>1.33</v>
      </c>
      <c r="H136" s="111">
        <v>0.2</v>
      </c>
      <c r="I136" s="111">
        <v>8.4</v>
      </c>
      <c r="J136" s="111">
        <v>42.8</v>
      </c>
    </row>
    <row r="137" spans="1:10" ht="16.5" customHeight="1">
      <c r="A137" s="109" t="s">
        <v>343</v>
      </c>
      <c r="B137" s="109" t="s">
        <v>83</v>
      </c>
      <c r="C137" s="115">
        <v>200</v>
      </c>
      <c r="D137" s="111">
        <v>5.76</v>
      </c>
      <c r="E137" s="110">
        <v>30</v>
      </c>
      <c r="F137" s="106">
        <f>D137*E137%+D137</f>
        <v>7.4879999999999995</v>
      </c>
      <c r="G137" s="111">
        <v>2.5</v>
      </c>
      <c r="H137" s="111">
        <v>3.6</v>
      </c>
      <c r="I137" s="111">
        <v>28.7</v>
      </c>
      <c r="J137" s="111">
        <v>152</v>
      </c>
    </row>
    <row r="138" spans="1:13" ht="16.5" customHeight="1" thickBot="1">
      <c r="A138" s="123"/>
      <c r="B138" s="123" t="s">
        <v>226</v>
      </c>
      <c r="C138" s="123"/>
      <c r="D138" s="157">
        <f>SUM(D133:D137)</f>
        <v>30.14</v>
      </c>
      <c r="E138" s="157"/>
      <c r="F138" s="157">
        <f>SUM(F133:F137)</f>
        <v>39.182</v>
      </c>
      <c r="G138" s="157">
        <f>SUM(G133:G137)</f>
        <v>21.21</v>
      </c>
      <c r="H138" s="157">
        <f>SUM(H133:H137)</f>
        <v>27.57</v>
      </c>
      <c r="I138" s="157">
        <f>SUM(I133:I137)</f>
        <v>80.08999999999999</v>
      </c>
      <c r="J138" s="157">
        <f>SUM(J133:J137)</f>
        <v>532.78</v>
      </c>
      <c r="K138" s="52">
        <f>J138*M138/L139</f>
        <v>22.67148936170213</v>
      </c>
      <c r="M138" s="6">
        <v>100</v>
      </c>
    </row>
    <row r="139" spans="1:12" ht="16.5" customHeight="1" thickBot="1">
      <c r="A139" s="147"/>
      <c r="B139" s="148" t="s">
        <v>84</v>
      </c>
      <c r="C139" s="149"/>
      <c r="D139" s="150"/>
      <c r="E139" s="151"/>
      <c r="F139" s="150"/>
      <c r="G139" s="150"/>
      <c r="H139" s="150"/>
      <c r="I139" s="150"/>
      <c r="J139" s="152"/>
      <c r="K139" s="219"/>
      <c r="L139" s="25">
        <v>2350</v>
      </c>
    </row>
    <row r="140" spans="1:11" ht="16.5" customHeight="1">
      <c r="A140" s="170" t="s">
        <v>315</v>
      </c>
      <c r="B140" s="170" t="s">
        <v>295</v>
      </c>
      <c r="C140" s="171">
        <v>100</v>
      </c>
      <c r="D140" s="168">
        <v>6.6</v>
      </c>
      <c r="E140" s="171">
        <v>30</v>
      </c>
      <c r="F140" s="168">
        <f>D140*E140%+D140</f>
        <v>8.58</v>
      </c>
      <c r="G140" s="168">
        <v>2.65</v>
      </c>
      <c r="H140" s="168">
        <v>7.14</v>
      </c>
      <c r="I140" s="168">
        <v>5.44</v>
      </c>
      <c r="J140" s="168">
        <v>126</v>
      </c>
      <c r="K140" s="219"/>
    </row>
    <row r="141" spans="1:11" ht="16.5" customHeight="1">
      <c r="A141" s="109" t="s">
        <v>86</v>
      </c>
      <c r="B141" s="109" t="s">
        <v>179</v>
      </c>
      <c r="C141" s="115" t="s">
        <v>36</v>
      </c>
      <c r="D141" s="111">
        <v>4.73</v>
      </c>
      <c r="E141" s="110">
        <v>30</v>
      </c>
      <c r="F141" s="106">
        <f>D141*E141%+D141</f>
        <v>6.149000000000001</v>
      </c>
      <c r="G141" s="111">
        <v>2.46</v>
      </c>
      <c r="H141" s="111">
        <v>6.16</v>
      </c>
      <c r="I141" s="111">
        <v>12.76</v>
      </c>
      <c r="J141" s="111">
        <v>117.35</v>
      </c>
      <c r="K141" s="219"/>
    </row>
    <row r="142" spans="1:11" ht="16.5" customHeight="1">
      <c r="A142" s="116" t="s">
        <v>87</v>
      </c>
      <c r="B142" s="116" t="s">
        <v>88</v>
      </c>
      <c r="C142" s="117">
        <v>200</v>
      </c>
      <c r="D142" s="118">
        <v>27.07</v>
      </c>
      <c r="E142" s="119">
        <v>30</v>
      </c>
      <c r="F142" s="106">
        <f>D142*E142%+D142</f>
        <v>35.191</v>
      </c>
      <c r="G142" s="106">
        <v>14.4</v>
      </c>
      <c r="H142" s="106">
        <v>19</v>
      </c>
      <c r="I142" s="106">
        <v>45.4</v>
      </c>
      <c r="J142" s="106">
        <v>418</v>
      </c>
      <c r="K142" s="223"/>
    </row>
    <row r="143" spans="1:13" ht="16.5" customHeight="1" thickBot="1">
      <c r="A143" s="109"/>
      <c r="B143" s="109" t="s">
        <v>62</v>
      </c>
      <c r="C143" s="158" t="s">
        <v>40</v>
      </c>
      <c r="D143" s="118">
        <v>1.54</v>
      </c>
      <c r="E143" s="110">
        <v>30</v>
      </c>
      <c r="F143" s="106">
        <f>D143*E143%+D143</f>
        <v>2.002</v>
      </c>
      <c r="G143" s="118">
        <v>2.67</v>
      </c>
      <c r="H143" s="118">
        <v>0.6</v>
      </c>
      <c r="I143" s="118">
        <v>16.8</v>
      </c>
      <c r="J143" s="118">
        <v>85.6</v>
      </c>
      <c r="K143" s="219"/>
      <c r="L143" s="220"/>
      <c r="M143" s="219"/>
    </row>
    <row r="144" spans="1:11" ht="16.5" customHeight="1" thickBot="1">
      <c r="A144" s="172"/>
      <c r="B144" s="109" t="s">
        <v>191</v>
      </c>
      <c r="C144" s="110">
        <v>200</v>
      </c>
      <c r="D144" s="111">
        <v>7</v>
      </c>
      <c r="E144" s="110">
        <v>30</v>
      </c>
      <c r="F144" s="155">
        <f>D144*30%+D144</f>
        <v>9.1</v>
      </c>
      <c r="G144" s="179">
        <v>0.56</v>
      </c>
      <c r="H144" s="179">
        <v>0</v>
      </c>
      <c r="I144" s="179">
        <v>27.89</v>
      </c>
      <c r="J144" s="179">
        <v>96</v>
      </c>
      <c r="K144" s="219"/>
    </row>
    <row r="145" spans="1:11" ht="16.5" customHeight="1" thickBot="1">
      <c r="A145" s="31"/>
      <c r="B145" s="27" t="s">
        <v>226</v>
      </c>
      <c r="C145" s="53"/>
      <c r="D145" s="24">
        <f>SUM(D140:D144)</f>
        <v>46.94</v>
      </c>
      <c r="E145" s="24"/>
      <c r="F145" s="24">
        <f>SUM(F140:F144)</f>
        <v>61.022000000000006</v>
      </c>
      <c r="G145" s="24">
        <f>SUM(G140:G144)</f>
        <v>22.74</v>
      </c>
      <c r="H145" s="24">
        <f>SUM(H140:H144)</f>
        <v>32.9</v>
      </c>
      <c r="I145" s="24">
        <f>SUM(I140:I144)</f>
        <v>108.28999999999999</v>
      </c>
      <c r="J145" s="24">
        <f>SUM(J140:J144)</f>
        <v>842.95</v>
      </c>
      <c r="K145" s="52">
        <f>J145*M138/L139</f>
        <v>35.87021276595745</v>
      </c>
    </row>
    <row r="146" spans="1:12" ht="16.5" customHeight="1" thickBot="1">
      <c r="A146" s="26"/>
      <c r="B146" s="26" t="s">
        <v>321</v>
      </c>
      <c r="C146" s="27"/>
      <c r="D146" s="33">
        <f>D138+D145</f>
        <v>77.08</v>
      </c>
      <c r="E146" s="33"/>
      <c r="F146" s="33">
        <f>F138+F145</f>
        <v>100.20400000000001</v>
      </c>
      <c r="G146" s="33">
        <f>G138+G145</f>
        <v>43.95</v>
      </c>
      <c r="H146" s="33">
        <f>H138+H145</f>
        <v>60.47</v>
      </c>
      <c r="I146" s="33">
        <f>I138+I145</f>
        <v>188.38</v>
      </c>
      <c r="J146" s="33">
        <f>J138+J145</f>
        <v>1375.73</v>
      </c>
      <c r="K146" s="54">
        <f>J146*M138/L139</f>
        <v>58.541702127659576</v>
      </c>
      <c r="L146" s="55"/>
    </row>
    <row r="147" spans="2:12" ht="16.5" customHeight="1">
      <c r="B147" s="56"/>
      <c r="C147" s="37"/>
      <c r="D147" s="40"/>
      <c r="E147" s="42"/>
      <c r="F147" s="40"/>
      <c r="G147" s="34"/>
      <c r="H147" s="35"/>
      <c r="I147" s="35"/>
      <c r="J147" s="57"/>
      <c r="L147" s="6"/>
    </row>
    <row r="148" spans="2:12" ht="16.5" customHeight="1">
      <c r="B148" s="20"/>
      <c r="C148" s="37"/>
      <c r="D148" s="37"/>
      <c r="E148" s="37"/>
      <c r="F148" s="38"/>
      <c r="G148" s="39"/>
      <c r="H148" s="58"/>
      <c r="I148" s="58"/>
      <c r="J148" s="40"/>
      <c r="L148" s="6"/>
    </row>
    <row r="149" spans="3:12" ht="16.5" customHeight="1">
      <c r="C149" s="37"/>
      <c r="D149" s="37"/>
      <c r="E149" s="37"/>
      <c r="F149" s="38"/>
      <c r="G149" s="39"/>
      <c r="H149" s="39"/>
      <c r="I149" s="39"/>
      <c r="J149" s="40"/>
      <c r="L149" s="6"/>
    </row>
    <row r="153" spans="4:12" ht="16.5" customHeight="1">
      <c r="D153" s="4"/>
      <c r="E153" s="59"/>
      <c r="F153" s="60"/>
      <c r="L153" s="6"/>
    </row>
    <row r="154" spans="4:12" ht="16.5" customHeight="1">
      <c r="D154" s="4"/>
      <c r="E154" s="59"/>
      <c r="F154" s="60"/>
      <c r="L154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3" spans="2:12" ht="16.5" customHeight="1">
      <c r="B163" s="16" t="s">
        <v>89</v>
      </c>
      <c r="C163" s="41"/>
      <c r="D163" s="40"/>
      <c r="E163" s="42"/>
      <c r="F163" s="40"/>
      <c r="G163" s="43"/>
      <c r="H163" s="43"/>
      <c r="I163" s="43"/>
      <c r="J163" s="41"/>
      <c r="L163" s="6"/>
    </row>
    <row r="164" spans="2:10" ht="16.5" customHeight="1">
      <c r="B164" s="16" t="s">
        <v>46</v>
      </c>
      <c r="C164" s="41"/>
      <c r="D164" s="40"/>
      <c r="E164" s="42"/>
      <c r="F164" s="40"/>
      <c r="G164" s="43"/>
      <c r="H164" s="43"/>
      <c r="I164" s="43"/>
      <c r="J164" s="41"/>
    </row>
    <row r="165" spans="2:10" ht="16.5" customHeight="1">
      <c r="B165" s="16" t="s">
        <v>314</v>
      </c>
      <c r="C165" s="41"/>
      <c r="D165" s="40"/>
      <c r="E165" s="42"/>
      <c r="F165" s="40"/>
      <c r="G165" s="43"/>
      <c r="H165" s="43"/>
      <c r="I165" s="43"/>
      <c r="J165" s="41"/>
    </row>
    <row r="166" spans="2:4" ht="16.5" customHeight="1">
      <c r="B166" s="19" t="s">
        <v>348</v>
      </c>
      <c r="D166" s="17"/>
    </row>
    <row r="167" spans="2:4" ht="16.5" customHeight="1">
      <c r="B167" s="20"/>
      <c r="D167" s="17"/>
    </row>
    <row r="168" spans="2:4" ht="16.5" customHeight="1">
      <c r="B168" s="20"/>
      <c r="D168" s="17"/>
    </row>
    <row r="169" spans="2:4" ht="16.5" customHeight="1" thickBot="1">
      <c r="B169" s="20"/>
      <c r="D169" s="17"/>
    </row>
    <row r="170" spans="1:10" ht="16.5" customHeight="1" thickBot="1">
      <c r="A170" s="489"/>
      <c r="B170" s="489" t="s">
        <v>11</v>
      </c>
      <c r="C170" s="21" t="s">
        <v>12</v>
      </c>
      <c r="D170" s="494" t="s">
        <v>13</v>
      </c>
      <c r="E170" s="496" t="s">
        <v>14</v>
      </c>
      <c r="F170" s="494" t="s">
        <v>200</v>
      </c>
      <c r="G170" s="61" t="s">
        <v>15</v>
      </c>
      <c r="H170" s="62"/>
      <c r="I170" s="63"/>
      <c r="J170" s="21" t="s">
        <v>16</v>
      </c>
    </row>
    <row r="171" spans="1:10" ht="27.75" customHeight="1" thickBot="1">
      <c r="A171" s="490"/>
      <c r="B171" s="490"/>
      <c r="C171" s="23" t="s">
        <v>17</v>
      </c>
      <c r="D171" s="495"/>
      <c r="E171" s="497"/>
      <c r="F171" s="495"/>
      <c r="G171" s="23" t="s">
        <v>18</v>
      </c>
      <c r="H171" s="23" t="s">
        <v>19</v>
      </c>
      <c r="I171" s="23" t="s">
        <v>20</v>
      </c>
      <c r="J171" s="23" t="s">
        <v>21</v>
      </c>
    </row>
    <row r="172" spans="1:10" ht="16.5" customHeight="1" thickBot="1">
      <c r="A172" s="147"/>
      <c r="B172" s="148" t="s">
        <v>22</v>
      </c>
      <c r="C172" s="149"/>
      <c r="D172" s="150"/>
      <c r="E172" s="151"/>
      <c r="F172" s="150"/>
      <c r="G172" s="150"/>
      <c r="H172" s="150"/>
      <c r="I172" s="150"/>
      <c r="J172" s="152"/>
    </row>
    <row r="173" spans="1:11" ht="16.5" customHeight="1">
      <c r="A173" s="153" t="s">
        <v>304</v>
      </c>
      <c r="B173" s="153" t="s">
        <v>297</v>
      </c>
      <c r="C173" s="154">
        <v>25</v>
      </c>
      <c r="D173" s="155">
        <v>3.55</v>
      </c>
      <c r="E173" s="156">
        <v>30</v>
      </c>
      <c r="F173" s="155">
        <f aca="true" t="shared" si="2" ref="F173:F178">D173*E173%+D173</f>
        <v>4.615</v>
      </c>
      <c r="G173" s="154">
        <v>0.61</v>
      </c>
      <c r="H173" s="154">
        <v>0.02</v>
      </c>
      <c r="I173" s="154">
        <v>0.2</v>
      </c>
      <c r="J173" s="155">
        <v>3.46</v>
      </c>
      <c r="K173" s="6" t="s">
        <v>209</v>
      </c>
    </row>
    <row r="174" spans="1:10" ht="16.5" customHeight="1">
      <c r="A174" s="116" t="s">
        <v>193</v>
      </c>
      <c r="B174" s="116" t="s">
        <v>194</v>
      </c>
      <c r="C174" s="117" t="s">
        <v>26</v>
      </c>
      <c r="D174" s="118">
        <v>23.1</v>
      </c>
      <c r="E174" s="119">
        <v>30</v>
      </c>
      <c r="F174" s="118">
        <f t="shared" si="2"/>
        <v>30.03</v>
      </c>
      <c r="G174" s="118">
        <v>12.72</v>
      </c>
      <c r="H174" s="118">
        <v>11.52</v>
      </c>
      <c r="I174" s="118">
        <v>12.8</v>
      </c>
      <c r="J174" s="118">
        <v>208.8</v>
      </c>
    </row>
    <row r="175" spans="1:10" ht="16.5" customHeight="1">
      <c r="A175" s="116" t="s">
        <v>90</v>
      </c>
      <c r="B175" s="116" t="s">
        <v>208</v>
      </c>
      <c r="C175" s="117">
        <v>150</v>
      </c>
      <c r="D175" s="118">
        <v>2.88</v>
      </c>
      <c r="E175" s="119">
        <v>30</v>
      </c>
      <c r="F175" s="118">
        <f t="shared" si="2"/>
        <v>3.7439999999999998</v>
      </c>
      <c r="G175" s="117">
        <v>8.4</v>
      </c>
      <c r="H175" s="117">
        <v>10.8</v>
      </c>
      <c r="I175" s="117">
        <v>41.25</v>
      </c>
      <c r="J175" s="117">
        <v>280.5</v>
      </c>
    </row>
    <row r="176" spans="1:10" ht="16.5" customHeight="1">
      <c r="A176" s="116"/>
      <c r="B176" s="116" t="s">
        <v>53</v>
      </c>
      <c r="C176" s="119">
        <v>30</v>
      </c>
      <c r="D176" s="118">
        <v>0.93</v>
      </c>
      <c r="E176" s="119">
        <v>30</v>
      </c>
      <c r="F176" s="118">
        <f t="shared" si="2"/>
        <v>1.209</v>
      </c>
      <c r="G176" s="118">
        <v>2.2278000000000002</v>
      </c>
      <c r="H176" s="118">
        <v>0.2112</v>
      </c>
      <c r="I176" s="118">
        <v>13.3224</v>
      </c>
      <c r="J176" s="118">
        <v>64.1016</v>
      </c>
    </row>
    <row r="177" spans="1:10" ht="16.5" customHeight="1">
      <c r="A177" s="116" t="s">
        <v>50</v>
      </c>
      <c r="B177" s="116" t="s">
        <v>281</v>
      </c>
      <c r="C177" s="117" t="s">
        <v>282</v>
      </c>
      <c r="D177" s="118">
        <v>1.5</v>
      </c>
      <c r="E177" s="119">
        <v>30</v>
      </c>
      <c r="F177" s="118">
        <f t="shared" si="2"/>
        <v>1.95</v>
      </c>
      <c r="G177" s="118">
        <v>0.188</v>
      </c>
      <c r="H177" s="118">
        <v>0.044879999999999996</v>
      </c>
      <c r="I177" s="118">
        <v>13.670020000000001</v>
      </c>
      <c r="J177" s="118">
        <v>55.836000000000006</v>
      </c>
    </row>
    <row r="178" spans="1:10" ht="16.5" customHeight="1">
      <c r="A178" s="164"/>
      <c r="B178" s="116" t="s">
        <v>350</v>
      </c>
      <c r="C178" s="119">
        <v>100</v>
      </c>
      <c r="D178" s="118">
        <v>10</v>
      </c>
      <c r="E178" s="119">
        <v>30</v>
      </c>
      <c r="F178" s="118">
        <f t="shared" si="2"/>
        <v>13</v>
      </c>
      <c r="G178" s="118">
        <v>0.84</v>
      </c>
      <c r="H178" s="118">
        <v>0.59</v>
      </c>
      <c r="I178" s="118">
        <v>21</v>
      </c>
      <c r="J178" s="118">
        <v>92.67</v>
      </c>
    </row>
    <row r="179" spans="1:11" ht="16.5" customHeight="1" thickBot="1">
      <c r="A179" s="173"/>
      <c r="B179" s="123" t="s">
        <v>226</v>
      </c>
      <c r="C179" s="174"/>
      <c r="D179" s="157">
        <f>SUM(D173:D178)</f>
        <v>41.96</v>
      </c>
      <c r="E179" s="157"/>
      <c r="F179" s="157">
        <f>SUM(F173:F178)</f>
        <v>54.54800000000001</v>
      </c>
      <c r="G179" s="157">
        <f>SUM(G173:G177)</f>
        <v>24.145799999999998</v>
      </c>
      <c r="H179" s="157">
        <f>SUM(H173:H177)</f>
        <v>22.59608</v>
      </c>
      <c r="I179" s="157">
        <f>SUM(I173:I177)</f>
        <v>81.24242000000001</v>
      </c>
      <c r="J179" s="157">
        <f>SUM(J173:J177)</f>
        <v>612.6976</v>
      </c>
      <c r="K179" s="52">
        <f>J179*100/2350</f>
        <v>26.07223829787234</v>
      </c>
    </row>
    <row r="180" spans="1:13" ht="16.5" customHeight="1" thickBot="1">
      <c r="A180" s="147"/>
      <c r="B180" s="148" t="s">
        <v>33</v>
      </c>
      <c r="C180" s="149"/>
      <c r="D180" s="150"/>
      <c r="E180" s="151"/>
      <c r="F180" s="150"/>
      <c r="G180" s="150"/>
      <c r="H180" s="150"/>
      <c r="I180" s="150"/>
      <c r="J180" s="152"/>
      <c r="K180" s="52"/>
      <c r="L180" s="25">
        <v>2350</v>
      </c>
      <c r="M180" s="6">
        <v>100</v>
      </c>
    </row>
    <row r="181" spans="1:11" ht="16.5" customHeight="1">
      <c r="A181" s="153" t="s">
        <v>317</v>
      </c>
      <c r="B181" s="153" t="s">
        <v>316</v>
      </c>
      <c r="C181" s="154">
        <v>100</v>
      </c>
      <c r="D181" s="155">
        <v>6.32</v>
      </c>
      <c r="E181" s="156">
        <v>30</v>
      </c>
      <c r="F181" s="168">
        <f aca="true" t="shared" si="3" ref="F181:F186">D181*E181%+D181</f>
        <v>8.216000000000001</v>
      </c>
      <c r="G181" s="168">
        <v>3.64</v>
      </c>
      <c r="H181" s="168">
        <v>9.79</v>
      </c>
      <c r="I181" s="168">
        <v>6.4</v>
      </c>
      <c r="J181" s="168">
        <v>128</v>
      </c>
      <c r="K181" s="52"/>
    </row>
    <row r="182" spans="1:24" s="25" customFormat="1" ht="16.5" customHeight="1">
      <c r="A182" s="116" t="s">
        <v>68</v>
      </c>
      <c r="B182" s="116" t="s">
        <v>318</v>
      </c>
      <c r="C182" s="117" t="s">
        <v>146</v>
      </c>
      <c r="D182" s="118">
        <v>8.47</v>
      </c>
      <c r="E182" s="119">
        <v>30</v>
      </c>
      <c r="F182" s="118">
        <f t="shared" si="3"/>
        <v>11.011000000000001</v>
      </c>
      <c r="G182" s="118">
        <v>9.86</v>
      </c>
      <c r="H182" s="118">
        <v>5.8</v>
      </c>
      <c r="I182" s="118">
        <v>35.1</v>
      </c>
      <c r="J182" s="118">
        <v>208</v>
      </c>
      <c r="K182" s="21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s="25" customFormat="1" ht="16.5" customHeight="1">
      <c r="A183" s="175" t="s">
        <v>187</v>
      </c>
      <c r="B183" s="109" t="s">
        <v>319</v>
      </c>
      <c r="C183" s="105" t="s">
        <v>26</v>
      </c>
      <c r="D183" s="106">
        <v>9.67</v>
      </c>
      <c r="E183" s="107">
        <v>30</v>
      </c>
      <c r="F183" s="106">
        <f t="shared" si="3"/>
        <v>12.571</v>
      </c>
      <c r="G183" s="106">
        <v>11.68</v>
      </c>
      <c r="H183" s="106">
        <v>10.62</v>
      </c>
      <c r="I183" s="106">
        <v>15.9</v>
      </c>
      <c r="J183" s="106">
        <v>155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16" t="s">
        <v>183</v>
      </c>
      <c r="B184" s="116" t="s">
        <v>182</v>
      </c>
      <c r="C184" s="159">
        <v>150</v>
      </c>
      <c r="D184" s="118">
        <v>5.02</v>
      </c>
      <c r="E184" s="119">
        <v>30</v>
      </c>
      <c r="F184" s="118">
        <f t="shared" si="3"/>
        <v>6.526</v>
      </c>
      <c r="G184" s="118">
        <v>7.8</v>
      </c>
      <c r="H184" s="118">
        <v>4.64</v>
      </c>
      <c r="I184" s="118">
        <v>12.16</v>
      </c>
      <c r="J184" s="118">
        <v>256</v>
      </c>
      <c r="K184" s="223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09"/>
      <c r="B185" s="109" t="s">
        <v>71</v>
      </c>
      <c r="C185" s="120" t="s">
        <v>40</v>
      </c>
      <c r="D185" s="111">
        <v>2.46</v>
      </c>
      <c r="E185" s="110">
        <v>30</v>
      </c>
      <c r="F185" s="106">
        <f t="shared" si="3"/>
        <v>3.198</v>
      </c>
      <c r="G185" s="118">
        <v>3.2</v>
      </c>
      <c r="H185" s="118">
        <v>0.32</v>
      </c>
      <c r="I185" s="118">
        <v>27.46</v>
      </c>
      <c r="J185" s="118">
        <v>74.3</v>
      </c>
      <c r="K185" s="219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 t="s">
        <v>93</v>
      </c>
      <c r="B186" s="109" t="s">
        <v>94</v>
      </c>
      <c r="C186" s="112">
        <v>200</v>
      </c>
      <c r="D186" s="106">
        <v>4.5</v>
      </c>
      <c r="E186" s="110">
        <v>30</v>
      </c>
      <c r="F186" s="106">
        <f t="shared" si="3"/>
        <v>5.85</v>
      </c>
      <c r="G186" s="111">
        <v>0.33</v>
      </c>
      <c r="H186" s="111">
        <v>0</v>
      </c>
      <c r="I186" s="111">
        <v>22.66</v>
      </c>
      <c r="J186" s="111">
        <v>91.98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 thickBot="1">
      <c r="A187" s="176"/>
      <c r="B187" s="123" t="s">
        <v>226</v>
      </c>
      <c r="C187" s="177"/>
      <c r="D187" s="125">
        <f>SUM(D181:D186)</f>
        <v>36.44</v>
      </c>
      <c r="E187" s="125"/>
      <c r="F187" s="125">
        <f>SUM(F181:F186)</f>
        <v>47.372</v>
      </c>
      <c r="G187" s="125">
        <f>SUM(G181:G186)</f>
        <v>36.51</v>
      </c>
      <c r="H187" s="125">
        <f>SUM(H181:H186)</f>
        <v>31.17</v>
      </c>
      <c r="I187" s="125">
        <f>SUM(I181:I186)</f>
        <v>119.68</v>
      </c>
      <c r="J187" s="125">
        <f>SUM(J181:J186)</f>
        <v>913.28</v>
      </c>
      <c r="K187" s="52">
        <f>J187*100/2350</f>
        <v>38.862978723404254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64"/>
      <c r="B188" s="64" t="s">
        <v>322</v>
      </c>
      <c r="C188" s="30"/>
      <c r="D188" s="33">
        <f>D187+D179</f>
        <v>78.4</v>
      </c>
      <c r="E188" s="33"/>
      <c r="F188" s="33">
        <f>F187+F179</f>
        <v>101.92000000000002</v>
      </c>
      <c r="G188" s="33">
        <f>G179+G187</f>
        <v>60.6558</v>
      </c>
      <c r="H188" s="33">
        <f>H179+H187</f>
        <v>53.76608</v>
      </c>
      <c r="I188" s="33">
        <f>I179+I187</f>
        <v>200.92242000000002</v>
      </c>
      <c r="J188" s="28">
        <f>J179+J187</f>
        <v>1525.9776</v>
      </c>
      <c r="K188" s="52">
        <f>K179+K187</f>
        <v>64.9352170212766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s="25" customFormat="1" ht="16.5" customHeight="1">
      <c r="B189" s="65"/>
      <c r="C189" s="66"/>
      <c r="D189" s="17"/>
      <c r="E189" s="18"/>
      <c r="F189" s="17"/>
      <c r="G189" s="34"/>
      <c r="H189" s="35"/>
      <c r="I189" s="35"/>
      <c r="J189" s="17"/>
      <c r="K189" s="54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5"/>
      <c r="D190" s="65"/>
      <c r="E190" s="67"/>
      <c r="F190" s="68"/>
      <c r="G190" s="65"/>
      <c r="H190" s="65"/>
      <c r="I190" s="65"/>
      <c r="J190" s="65"/>
      <c r="K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3" spans="2:24" s="25" customFormat="1" ht="16.5" customHeight="1">
      <c r="B193" s="65"/>
      <c r="C193" s="6"/>
      <c r="D193" s="17"/>
      <c r="E193" s="18"/>
      <c r="F193" s="17"/>
      <c r="G193" s="17"/>
      <c r="H193" s="17"/>
      <c r="I193" s="17"/>
      <c r="J193" s="17"/>
      <c r="K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"/>
      <c r="D194" s="17"/>
      <c r="E194" s="18"/>
      <c r="F194" s="17"/>
      <c r="G194" s="17"/>
      <c r="H194" s="17"/>
      <c r="I194" s="17"/>
      <c r="J194" s="17"/>
      <c r="K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"/>
      <c r="D195" s="17"/>
      <c r="E195" s="18"/>
      <c r="F195" s="17"/>
      <c r="G195" s="17"/>
      <c r="H195" s="17"/>
      <c r="I195" s="17"/>
      <c r="J195" s="17"/>
      <c r="K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"/>
      <c r="D196" s="17"/>
      <c r="E196" s="18"/>
      <c r="F196" s="17"/>
      <c r="G196" s="17"/>
      <c r="H196" s="17"/>
      <c r="I196" s="17"/>
      <c r="J196" s="17"/>
      <c r="K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10" ht="16.5" customHeight="1">
      <c r="B197" s="65"/>
      <c r="D197" s="17"/>
      <c r="G197" s="17"/>
      <c r="H197" s="17"/>
      <c r="I197" s="17"/>
      <c r="J197" s="17"/>
    </row>
    <row r="198" spans="2:10" ht="16.5" customHeight="1">
      <c r="B198" s="65"/>
      <c r="D198" s="17"/>
      <c r="G198" s="17"/>
      <c r="H198" s="17"/>
      <c r="I198" s="17"/>
      <c r="J198" s="17"/>
    </row>
    <row r="199" spans="2:10" ht="16.5" customHeight="1">
      <c r="B199" s="65"/>
      <c r="D199" s="17"/>
      <c r="G199" s="17"/>
      <c r="H199" s="17"/>
      <c r="I199" s="17"/>
      <c r="J199" s="17"/>
    </row>
    <row r="200" spans="2:10" ht="16.5" customHeight="1">
      <c r="B200" s="65"/>
      <c r="D200" s="17"/>
      <c r="G200" s="17"/>
      <c r="H200" s="17"/>
      <c r="I200" s="17"/>
      <c r="J200" s="17"/>
    </row>
    <row r="201" spans="2:10" ht="16.5" customHeight="1">
      <c r="B201" s="69" t="s">
        <v>96</v>
      </c>
      <c r="D201" s="70"/>
      <c r="E201" s="71"/>
      <c r="G201" s="17"/>
      <c r="H201" s="17"/>
      <c r="I201" s="17"/>
      <c r="J201" s="17"/>
    </row>
    <row r="202" spans="2:10" ht="16.5" customHeight="1">
      <c r="B202" s="69" t="s">
        <v>97</v>
      </c>
      <c r="C202" s="41"/>
      <c r="D202" s="40"/>
      <c r="E202" s="42"/>
      <c r="F202" s="40"/>
      <c r="G202" s="38"/>
      <c r="H202" s="38"/>
      <c r="I202" s="38"/>
      <c r="J202" s="40"/>
    </row>
    <row r="203" spans="2:10" ht="16.5" customHeight="1">
      <c r="B203" s="16" t="s">
        <v>314</v>
      </c>
      <c r="C203" s="41"/>
      <c r="D203" s="40"/>
      <c r="E203" s="42"/>
      <c r="F203" s="40"/>
      <c r="G203" s="38"/>
      <c r="H203" s="38"/>
      <c r="I203" s="38"/>
      <c r="J203" s="40"/>
    </row>
    <row r="204" spans="2:10" ht="16.5" customHeight="1">
      <c r="B204" s="19" t="s">
        <v>348</v>
      </c>
      <c r="D204" s="17"/>
      <c r="G204" s="17"/>
      <c r="H204" s="17"/>
      <c r="I204" s="17"/>
      <c r="J204" s="17"/>
    </row>
    <row r="205" spans="2:10" ht="16.5" customHeight="1">
      <c r="B205" s="20"/>
      <c r="D205" s="17"/>
      <c r="G205" s="17"/>
      <c r="H205" s="17"/>
      <c r="I205" s="17"/>
      <c r="J205" s="17"/>
    </row>
    <row r="206" spans="1:10" ht="16.5" customHeight="1">
      <c r="A206" s="25"/>
      <c r="B206" s="20"/>
      <c r="D206" s="17"/>
      <c r="G206" s="17"/>
      <c r="H206" s="17"/>
      <c r="I206" s="17"/>
      <c r="J206" s="17"/>
    </row>
    <row r="207" spans="1:10" ht="16.5" customHeight="1" thickBot="1">
      <c r="A207" s="25"/>
      <c r="B207" s="20"/>
      <c r="D207" s="17"/>
      <c r="G207" s="17"/>
      <c r="H207" s="17"/>
      <c r="I207" s="17"/>
      <c r="J207" s="17"/>
    </row>
    <row r="208" spans="1:10" ht="16.5" customHeight="1" thickBot="1">
      <c r="A208" s="489"/>
      <c r="B208" s="489" t="s">
        <v>11</v>
      </c>
      <c r="C208" s="21" t="s">
        <v>12</v>
      </c>
      <c r="D208" s="494" t="s">
        <v>13</v>
      </c>
      <c r="E208" s="496" t="s">
        <v>14</v>
      </c>
      <c r="F208" s="494" t="s">
        <v>200</v>
      </c>
      <c r="G208" s="491" t="s">
        <v>15</v>
      </c>
      <c r="H208" s="492"/>
      <c r="I208" s="493"/>
      <c r="J208" s="22" t="s">
        <v>16</v>
      </c>
    </row>
    <row r="209" spans="1:10" ht="16.5" customHeight="1" thickBot="1">
      <c r="A209" s="490"/>
      <c r="B209" s="490"/>
      <c r="C209" s="23" t="s">
        <v>17</v>
      </c>
      <c r="D209" s="495"/>
      <c r="E209" s="497"/>
      <c r="F209" s="495"/>
      <c r="G209" s="24" t="s">
        <v>18</v>
      </c>
      <c r="H209" s="24" t="s">
        <v>19</v>
      </c>
      <c r="I209" s="24" t="s">
        <v>20</v>
      </c>
      <c r="J209" s="24" t="s">
        <v>21</v>
      </c>
    </row>
    <row r="210" spans="1:10" ht="16.5" customHeight="1" thickBot="1">
      <c r="A210" s="135"/>
      <c r="B210" s="136" t="s">
        <v>22</v>
      </c>
      <c r="C210" s="137"/>
      <c r="D210" s="138"/>
      <c r="E210" s="139"/>
      <c r="F210" s="138"/>
      <c r="G210" s="138"/>
      <c r="H210" s="138"/>
      <c r="I210" s="138"/>
      <c r="J210" s="140"/>
    </row>
    <row r="211" spans="1:10" ht="16.5" customHeight="1">
      <c r="A211" s="214" t="s">
        <v>329</v>
      </c>
      <c r="B211" s="170" t="s">
        <v>330</v>
      </c>
      <c r="C211" s="185">
        <v>60</v>
      </c>
      <c r="D211" s="168">
        <v>2.91</v>
      </c>
      <c r="E211" s="171">
        <v>30</v>
      </c>
      <c r="F211" s="155">
        <f aca="true" t="shared" si="4" ref="F211:F219">D211*E211%+D211</f>
        <v>3.7830000000000004</v>
      </c>
      <c r="G211" s="155">
        <v>0.26</v>
      </c>
      <c r="H211" s="155">
        <v>0.04</v>
      </c>
      <c r="I211" s="155">
        <v>1.05</v>
      </c>
      <c r="J211" s="155">
        <v>5.62</v>
      </c>
    </row>
    <row r="212" spans="1:10" ht="16.5" customHeight="1">
      <c r="A212" s="109"/>
      <c r="B212" s="109" t="s">
        <v>201</v>
      </c>
      <c r="C212" s="110" t="s">
        <v>222</v>
      </c>
      <c r="D212" s="111">
        <v>3.95</v>
      </c>
      <c r="E212" s="110">
        <v>30</v>
      </c>
      <c r="F212" s="118">
        <f t="shared" si="4"/>
        <v>5.135</v>
      </c>
      <c r="G212" s="117">
        <v>4.78</v>
      </c>
      <c r="H212" s="117">
        <v>4.05</v>
      </c>
      <c r="I212" s="117">
        <v>0.25</v>
      </c>
      <c r="J212" s="117">
        <v>56.55</v>
      </c>
    </row>
    <row r="213" spans="1:10" ht="16.5" customHeight="1">
      <c r="A213" s="109"/>
      <c r="B213" s="109" t="s">
        <v>221</v>
      </c>
      <c r="C213" s="110">
        <v>200</v>
      </c>
      <c r="D213" s="111">
        <v>7.09</v>
      </c>
      <c r="E213" s="110">
        <v>30</v>
      </c>
      <c r="F213" s="118">
        <f t="shared" si="4"/>
        <v>9.216999999999999</v>
      </c>
      <c r="G213" s="111">
        <v>13.883799999999999</v>
      </c>
      <c r="H213" s="111">
        <v>15.953520000000001</v>
      </c>
      <c r="I213" s="111">
        <v>36.258859</v>
      </c>
      <c r="J213" s="111">
        <v>344.152316</v>
      </c>
    </row>
    <row r="214" spans="1:10" ht="16.5" customHeight="1">
      <c r="A214" s="109"/>
      <c r="B214" s="109" t="s">
        <v>81</v>
      </c>
      <c r="C214" s="110">
        <v>30</v>
      </c>
      <c r="D214" s="111">
        <v>0.92</v>
      </c>
      <c r="E214" s="110">
        <v>30</v>
      </c>
      <c r="F214" s="118">
        <f t="shared" si="4"/>
        <v>1.1960000000000002</v>
      </c>
      <c r="G214" s="111">
        <v>1.33</v>
      </c>
      <c r="H214" s="111">
        <v>0.2</v>
      </c>
      <c r="I214" s="111">
        <v>8.4</v>
      </c>
      <c r="J214" s="111">
        <v>42.8</v>
      </c>
    </row>
    <row r="215" spans="1:10" ht="16.5" customHeight="1">
      <c r="A215" s="109" t="s">
        <v>98</v>
      </c>
      <c r="B215" s="109" t="s">
        <v>73</v>
      </c>
      <c r="C215" s="110">
        <v>200</v>
      </c>
      <c r="D215" s="106">
        <v>4.76</v>
      </c>
      <c r="E215" s="107">
        <v>30</v>
      </c>
      <c r="F215" s="118">
        <f t="shared" si="4"/>
        <v>6.188</v>
      </c>
      <c r="G215" s="118">
        <v>0.4</v>
      </c>
      <c r="H215" s="118">
        <v>0</v>
      </c>
      <c r="I215" s="118">
        <v>23.6</v>
      </c>
      <c r="J215" s="118">
        <v>94</v>
      </c>
    </row>
    <row r="216" spans="1:10" ht="16.5" customHeight="1">
      <c r="A216" s="109"/>
      <c r="B216" s="109" t="s">
        <v>157</v>
      </c>
      <c r="C216" s="110">
        <v>130</v>
      </c>
      <c r="D216" s="118">
        <v>13.75</v>
      </c>
      <c r="E216" s="107">
        <v>30</v>
      </c>
      <c r="F216" s="118">
        <f t="shared" si="4"/>
        <v>17.875</v>
      </c>
      <c r="G216" s="118">
        <v>0.89</v>
      </c>
      <c r="H216" s="118">
        <v>0.31</v>
      </c>
      <c r="I216" s="118">
        <v>10.52</v>
      </c>
      <c r="J216" s="118">
        <v>48.45</v>
      </c>
    </row>
    <row r="217" spans="1:10" ht="16.5" customHeight="1" thickBot="1">
      <c r="A217" s="190"/>
      <c r="B217" s="123" t="s">
        <v>226</v>
      </c>
      <c r="C217" s="190"/>
      <c r="D217" s="157">
        <f>SUM(D211:D216)</f>
        <v>33.379999999999995</v>
      </c>
      <c r="E217" s="157"/>
      <c r="F217" s="118">
        <f>SUM(F211:F216)</f>
        <v>43.394</v>
      </c>
      <c r="G217" s="157">
        <f>SUM(G211:G216)</f>
        <v>21.543799999999997</v>
      </c>
      <c r="H217" s="157">
        <f>SUM(H211:H216)</f>
        <v>20.55352</v>
      </c>
      <c r="I217" s="157">
        <f>SUM(I211:I216)</f>
        <v>80.078859</v>
      </c>
      <c r="J217" s="157">
        <f>SUM(J211:J216)</f>
        <v>591.572316</v>
      </c>
    </row>
    <row r="218" spans="1:10" ht="16.5" customHeight="1" thickBot="1">
      <c r="A218" s="135"/>
      <c r="B218" s="136" t="s">
        <v>99</v>
      </c>
      <c r="C218" s="137"/>
      <c r="D218" s="138"/>
      <c r="E218" s="139"/>
      <c r="F218" s="217"/>
      <c r="G218" s="138"/>
      <c r="H218" s="138"/>
      <c r="I218" s="138"/>
      <c r="J218" s="140"/>
    </row>
    <row r="219" spans="1:10" ht="16.5" customHeight="1">
      <c r="A219" s="170" t="s">
        <v>331</v>
      </c>
      <c r="B219" s="170" t="s">
        <v>332</v>
      </c>
      <c r="C219" s="185">
        <v>100</v>
      </c>
      <c r="D219" s="186">
        <v>2.6</v>
      </c>
      <c r="E219" s="187">
        <v>30</v>
      </c>
      <c r="F219" s="118">
        <f t="shared" si="4"/>
        <v>3.38</v>
      </c>
      <c r="G219" s="154">
        <v>2.2</v>
      </c>
      <c r="H219" s="154">
        <v>18</v>
      </c>
      <c r="I219" s="154">
        <v>12.8</v>
      </c>
      <c r="J219" s="155">
        <v>210</v>
      </c>
    </row>
    <row r="220" spans="1:10" ht="16.5" customHeight="1">
      <c r="A220" s="109" t="s">
        <v>100</v>
      </c>
      <c r="B220" s="109" t="s">
        <v>101</v>
      </c>
      <c r="C220" s="115">
        <v>250</v>
      </c>
      <c r="D220" s="111">
        <v>2.66</v>
      </c>
      <c r="E220" s="110">
        <v>30</v>
      </c>
      <c r="F220" s="118">
        <f aca="true" t="shared" si="5" ref="F220:F225">D220*E220%+D220</f>
        <v>3.458</v>
      </c>
      <c r="G220" s="111">
        <v>6.2</v>
      </c>
      <c r="H220" s="111">
        <v>5.6</v>
      </c>
      <c r="I220" s="111">
        <v>22.3</v>
      </c>
      <c r="J220" s="111">
        <v>167</v>
      </c>
    </row>
    <row r="221" spans="1:10" ht="16.5" customHeight="1">
      <c r="A221" s="109" t="s">
        <v>102</v>
      </c>
      <c r="B221" s="109" t="s">
        <v>103</v>
      </c>
      <c r="C221" s="105" t="s">
        <v>104</v>
      </c>
      <c r="D221" s="106">
        <v>15</v>
      </c>
      <c r="E221" s="107">
        <v>30</v>
      </c>
      <c r="F221" s="118">
        <f t="shared" si="5"/>
        <v>19.5</v>
      </c>
      <c r="G221" s="106">
        <v>12</v>
      </c>
      <c r="H221" s="106">
        <v>10.6</v>
      </c>
      <c r="I221" s="106">
        <v>9.7</v>
      </c>
      <c r="J221" s="106">
        <v>187.5</v>
      </c>
    </row>
    <row r="222" spans="1:10" ht="16.5" customHeight="1">
      <c r="A222" s="210" t="s">
        <v>290</v>
      </c>
      <c r="B222" s="104" t="s">
        <v>291</v>
      </c>
      <c r="C222" s="169">
        <v>150</v>
      </c>
      <c r="D222" s="106">
        <v>7.79</v>
      </c>
      <c r="E222" s="107">
        <v>30</v>
      </c>
      <c r="F222" s="118">
        <f t="shared" si="5"/>
        <v>10.126999999999999</v>
      </c>
      <c r="G222" s="111">
        <v>3.82</v>
      </c>
      <c r="H222" s="111">
        <v>3.66</v>
      </c>
      <c r="I222" s="111">
        <v>22.76</v>
      </c>
      <c r="J222" s="111">
        <v>139.28</v>
      </c>
    </row>
    <row r="223" spans="1:10" ht="16.5" customHeight="1">
      <c r="A223" s="109"/>
      <c r="B223" s="109" t="s">
        <v>71</v>
      </c>
      <c r="C223" s="120" t="s">
        <v>40</v>
      </c>
      <c r="D223" s="111">
        <v>2.16</v>
      </c>
      <c r="E223" s="110">
        <v>30</v>
      </c>
      <c r="F223" s="118">
        <f t="shared" si="5"/>
        <v>2.8080000000000003</v>
      </c>
      <c r="G223" s="118">
        <v>3.2</v>
      </c>
      <c r="H223" s="118">
        <v>0.32</v>
      </c>
      <c r="I223" s="118">
        <v>27.46</v>
      </c>
      <c r="J223" s="118">
        <v>74.3</v>
      </c>
    </row>
    <row r="224" spans="1:10" ht="16.5" customHeight="1">
      <c r="A224" s="109" t="s">
        <v>149</v>
      </c>
      <c r="B224" s="109" t="s">
        <v>150</v>
      </c>
      <c r="C224" s="112">
        <v>200</v>
      </c>
      <c r="D224" s="111">
        <v>5.27</v>
      </c>
      <c r="E224" s="110">
        <v>30</v>
      </c>
      <c r="F224" s="118">
        <f t="shared" si="5"/>
        <v>6.850999999999999</v>
      </c>
      <c r="G224" s="111">
        <v>0.8</v>
      </c>
      <c r="H224" s="111">
        <v>0</v>
      </c>
      <c r="I224" s="111">
        <v>45.9</v>
      </c>
      <c r="J224" s="111">
        <v>182</v>
      </c>
    </row>
    <row r="225" spans="1:10" ht="16.5" customHeight="1">
      <c r="A225" s="109"/>
      <c r="B225" s="109" t="s">
        <v>293</v>
      </c>
      <c r="C225" s="112">
        <v>160</v>
      </c>
      <c r="D225" s="111">
        <v>10</v>
      </c>
      <c r="E225" s="110">
        <v>30</v>
      </c>
      <c r="F225" s="118">
        <f t="shared" si="5"/>
        <v>13</v>
      </c>
      <c r="G225" s="111">
        <v>3</v>
      </c>
      <c r="H225" s="111">
        <v>1</v>
      </c>
      <c r="I225" s="111">
        <v>24.3</v>
      </c>
      <c r="J225" s="111">
        <v>101.2</v>
      </c>
    </row>
    <row r="226" spans="1:10" ht="16.5" customHeight="1" thickBot="1">
      <c r="A226" s="176"/>
      <c r="B226" s="123" t="s">
        <v>226</v>
      </c>
      <c r="C226" s="174"/>
      <c r="D226" s="125">
        <f>SUM(D219:D225)</f>
        <v>45.48</v>
      </c>
      <c r="E226" s="125"/>
      <c r="F226" s="125">
        <f>SUM(F219:F225)</f>
        <v>59.124</v>
      </c>
      <c r="G226" s="125">
        <f>SUM(G219:G225)</f>
        <v>31.22</v>
      </c>
      <c r="H226" s="125">
        <f>SUM(H219:H225)</f>
        <v>39.18</v>
      </c>
      <c r="I226" s="125">
        <f>SUM(I219:I225)</f>
        <v>165.22000000000003</v>
      </c>
      <c r="J226" s="125">
        <f>SUM(J219:J225)</f>
        <v>1061.28</v>
      </c>
    </row>
    <row r="227" spans="1:10" ht="16.5" customHeight="1" thickBot="1">
      <c r="A227" s="72"/>
      <c r="B227" s="99" t="s">
        <v>220</v>
      </c>
      <c r="C227" s="73"/>
      <c r="D227" s="33">
        <f>D226+D217</f>
        <v>78.85999999999999</v>
      </c>
      <c r="E227" s="33"/>
      <c r="F227" s="33">
        <f>F226+F217</f>
        <v>102.518</v>
      </c>
      <c r="G227" s="33">
        <f>G217+G226</f>
        <v>52.763799999999996</v>
      </c>
      <c r="H227" s="33">
        <f>H217+H226</f>
        <v>59.73352</v>
      </c>
      <c r="I227" s="33">
        <f>I217+I226</f>
        <v>245.29885900000002</v>
      </c>
      <c r="J227" s="33">
        <f>J217+J226</f>
        <v>1652.852316</v>
      </c>
    </row>
    <row r="228" spans="2:10" ht="16.5" customHeight="1">
      <c r="B228" s="65"/>
      <c r="D228" s="17"/>
      <c r="G228" s="17"/>
      <c r="H228" s="17"/>
      <c r="I228" s="17"/>
      <c r="J228" s="17"/>
    </row>
    <row r="229" spans="2:10" ht="16.5" customHeight="1">
      <c r="B229" s="65"/>
      <c r="D229" s="17"/>
      <c r="G229" s="17"/>
      <c r="H229" s="17"/>
      <c r="I229" s="17"/>
      <c r="J229" s="17"/>
    </row>
    <row r="230" spans="2:10" ht="16.5" customHeight="1">
      <c r="B230" s="65"/>
      <c r="D230" s="17"/>
      <c r="G230" s="17"/>
      <c r="H230" s="17"/>
      <c r="I230" s="17"/>
      <c r="J230" s="17"/>
    </row>
    <row r="231" spans="2:10" ht="16.5" customHeight="1">
      <c r="B231" s="65"/>
      <c r="D231" s="17"/>
      <c r="G231" s="17"/>
      <c r="H231" s="17"/>
      <c r="I231" s="17"/>
      <c r="J231" s="17"/>
    </row>
    <row r="232" spans="2:10" ht="16.5" customHeight="1">
      <c r="B232" s="65"/>
      <c r="D232" s="17"/>
      <c r="G232" s="17"/>
      <c r="H232" s="17"/>
      <c r="I232" s="17"/>
      <c r="J232" s="17"/>
    </row>
    <row r="233" spans="2:10" ht="16.5" customHeight="1">
      <c r="B233" s="65"/>
      <c r="D233" s="17"/>
      <c r="G233" s="17"/>
      <c r="H233" s="17"/>
      <c r="I233" s="17"/>
      <c r="J233" s="17"/>
    </row>
    <row r="234" spans="2:10" ht="16.5" customHeight="1">
      <c r="B234" s="65"/>
      <c r="D234" s="17"/>
      <c r="G234" s="17"/>
      <c r="H234" s="17"/>
      <c r="I234" s="17"/>
      <c r="J234" s="17"/>
    </row>
    <row r="235" spans="2:10" ht="16.5" customHeight="1">
      <c r="B235" s="65"/>
      <c r="D235" s="17"/>
      <c r="G235" s="17"/>
      <c r="H235" s="17"/>
      <c r="I235" s="17"/>
      <c r="J235" s="17"/>
    </row>
    <row r="236" spans="2:10" ht="16.5" customHeight="1">
      <c r="B236" s="65"/>
      <c r="D236" s="17"/>
      <c r="G236" s="17"/>
      <c r="H236" s="17"/>
      <c r="I236" s="17"/>
      <c r="J236" s="17"/>
    </row>
    <row r="237" spans="2:10" ht="16.5" customHeight="1">
      <c r="B237" s="65"/>
      <c r="D237" s="17"/>
      <c r="G237" s="17"/>
      <c r="H237" s="17"/>
      <c r="I237" s="17"/>
      <c r="J237" s="17"/>
    </row>
    <row r="238" spans="2:10" ht="16.5" customHeight="1">
      <c r="B238" s="65"/>
      <c r="D238" s="17"/>
      <c r="G238" s="17"/>
      <c r="H238" s="17"/>
      <c r="I238" s="17"/>
      <c r="J238" s="17"/>
    </row>
    <row r="239" spans="2:10" ht="16.5" customHeight="1">
      <c r="B239" s="65"/>
      <c r="D239" s="17"/>
      <c r="G239" s="17"/>
      <c r="H239" s="17"/>
      <c r="I239" s="17"/>
      <c r="J239" s="17"/>
    </row>
    <row r="240" spans="2:10" ht="16.5" customHeight="1">
      <c r="B240" s="65"/>
      <c r="D240" s="17"/>
      <c r="G240" s="17"/>
      <c r="H240" s="17"/>
      <c r="I240" s="17"/>
      <c r="J240" s="17"/>
    </row>
    <row r="241" spans="2:10" ht="16.5" customHeight="1">
      <c r="B241" s="16" t="s">
        <v>106</v>
      </c>
      <c r="C241" s="41"/>
      <c r="D241" s="40"/>
      <c r="E241" s="42"/>
      <c r="F241" s="40"/>
      <c r="G241" s="38"/>
      <c r="H241" s="38"/>
      <c r="I241" s="38"/>
      <c r="J241" s="40"/>
    </row>
    <row r="242" spans="2:10" ht="16.5" customHeight="1">
      <c r="B242" s="16" t="s">
        <v>107</v>
      </c>
      <c r="C242" s="41"/>
      <c r="D242" s="40"/>
      <c r="E242" s="42"/>
      <c r="F242" s="40"/>
      <c r="G242" s="38"/>
      <c r="H242" s="38"/>
      <c r="I242" s="38"/>
      <c r="J242" s="40"/>
    </row>
    <row r="243" spans="2:10" ht="16.5" customHeight="1">
      <c r="B243" s="16" t="s">
        <v>314</v>
      </c>
      <c r="C243" s="41"/>
      <c r="D243" s="40"/>
      <c r="E243" s="42"/>
      <c r="F243" s="40"/>
      <c r="G243" s="38"/>
      <c r="H243" s="38"/>
      <c r="I243" s="38"/>
      <c r="J243" s="40"/>
    </row>
    <row r="244" spans="2:10" ht="16.5" customHeight="1">
      <c r="B244" s="19" t="s">
        <v>348</v>
      </c>
      <c r="C244" s="41"/>
      <c r="D244" s="40"/>
      <c r="E244" s="42"/>
      <c r="F244" s="40"/>
      <c r="G244" s="38"/>
      <c r="H244" s="38"/>
      <c r="I244" s="38"/>
      <c r="J244" s="40"/>
    </row>
    <row r="245" spans="2:10" ht="16.5" customHeight="1">
      <c r="B245" s="20"/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20"/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 thickBot="1">
      <c r="B247" s="20"/>
      <c r="C247" s="41"/>
      <c r="D247" s="40"/>
      <c r="E247" s="42"/>
      <c r="F247" s="40"/>
      <c r="G247" s="38"/>
      <c r="H247" s="38"/>
      <c r="I247" s="38"/>
      <c r="J247" s="40"/>
    </row>
    <row r="248" spans="1:10" ht="16.5" customHeight="1" thickBot="1">
      <c r="A248" s="489"/>
      <c r="B248" s="489" t="s">
        <v>11</v>
      </c>
      <c r="C248" s="21" t="s">
        <v>12</v>
      </c>
      <c r="D248" s="494" t="s">
        <v>13</v>
      </c>
      <c r="E248" s="496" t="s">
        <v>14</v>
      </c>
      <c r="F248" s="494" t="s">
        <v>200</v>
      </c>
      <c r="G248" s="491" t="s">
        <v>15</v>
      </c>
      <c r="H248" s="492"/>
      <c r="I248" s="493"/>
      <c r="J248" s="22" t="s">
        <v>16</v>
      </c>
    </row>
    <row r="249" spans="1:10" ht="27.75" customHeight="1" thickBot="1">
      <c r="A249" s="490"/>
      <c r="B249" s="490"/>
      <c r="C249" s="23" t="s">
        <v>17</v>
      </c>
      <c r="D249" s="495"/>
      <c r="E249" s="497"/>
      <c r="F249" s="495"/>
      <c r="G249" s="24" t="s">
        <v>18</v>
      </c>
      <c r="H249" s="24" t="s">
        <v>19</v>
      </c>
      <c r="I249" s="24" t="s">
        <v>20</v>
      </c>
      <c r="J249" s="24" t="s">
        <v>21</v>
      </c>
    </row>
    <row r="250" spans="1:10" ht="16.5" customHeight="1" thickBot="1">
      <c r="A250" s="147"/>
      <c r="B250" s="148" t="s">
        <v>108</v>
      </c>
      <c r="C250" s="149"/>
      <c r="D250" s="150"/>
      <c r="E250" s="151"/>
      <c r="F250" s="150"/>
      <c r="G250" s="150"/>
      <c r="H250" s="150"/>
      <c r="I250" s="150"/>
      <c r="J250" s="152"/>
    </row>
    <row r="251" spans="1:10" ht="16.5" customHeight="1" thickBot="1">
      <c r="A251" s="153" t="s">
        <v>320</v>
      </c>
      <c r="B251" s="153" t="s">
        <v>110</v>
      </c>
      <c r="C251" s="154" t="s">
        <v>111</v>
      </c>
      <c r="D251" s="155">
        <v>7.16</v>
      </c>
      <c r="E251" s="156">
        <v>30</v>
      </c>
      <c r="F251" s="155">
        <f aca="true" t="shared" si="6" ref="F251:F256">D251*30%+D251</f>
        <v>9.308</v>
      </c>
      <c r="G251" s="155">
        <v>8.78</v>
      </c>
      <c r="H251" s="155">
        <v>12.47</v>
      </c>
      <c r="I251" s="155">
        <v>43.5</v>
      </c>
      <c r="J251" s="155">
        <v>220.9</v>
      </c>
    </row>
    <row r="252" spans="1:10" ht="16.5" customHeight="1" thickBot="1">
      <c r="A252" s="116"/>
      <c r="B252" s="116" t="s">
        <v>112</v>
      </c>
      <c r="C252" s="117">
        <v>30</v>
      </c>
      <c r="D252" s="118">
        <v>7.65</v>
      </c>
      <c r="E252" s="119">
        <v>30</v>
      </c>
      <c r="F252" s="155">
        <f t="shared" si="6"/>
        <v>9.945</v>
      </c>
      <c r="G252" s="117">
        <v>7.95</v>
      </c>
      <c r="H252" s="118">
        <v>7</v>
      </c>
      <c r="I252" s="118">
        <v>0</v>
      </c>
      <c r="J252" s="117">
        <v>94.77</v>
      </c>
    </row>
    <row r="253" spans="1:13" ht="16.5" customHeight="1" thickBot="1">
      <c r="A253" s="116"/>
      <c r="B253" s="116" t="s">
        <v>53</v>
      </c>
      <c r="C253" s="119">
        <v>30</v>
      </c>
      <c r="D253" s="118">
        <v>0.93</v>
      </c>
      <c r="E253" s="119">
        <v>30</v>
      </c>
      <c r="F253" s="155">
        <f t="shared" si="6"/>
        <v>1.209</v>
      </c>
      <c r="G253" s="118">
        <v>2.2278000000000002</v>
      </c>
      <c r="H253" s="118">
        <v>0.2112</v>
      </c>
      <c r="I253" s="118">
        <v>13.3224</v>
      </c>
      <c r="J253" s="118">
        <v>64.1016</v>
      </c>
      <c r="K253" s="219"/>
      <c r="L253" s="220"/>
      <c r="M253" s="219"/>
    </row>
    <row r="254" spans="1:10" ht="16.5" customHeight="1" thickBot="1">
      <c r="A254" s="109" t="s">
        <v>31</v>
      </c>
      <c r="B254" s="116" t="s">
        <v>192</v>
      </c>
      <c r="C254" s="117">
        <v>200</v>
      </c>
      <c r="D254" s="111">
        <v>7.3</v>
      </c>
      <c r="E254" s="110">
        <v>30</v>
      </c>
      <c r="F254" s="155">
        <f t="shared" si="6"/>
        <v>9.49</v>
      </c>
      <c r="G254" s="111">
        <v>4.9</v>
      </c>
      <c r="H254" s="111">
        <v>5</v>
      </c>
      <c r="I254" s="111">
        <v>32.5</v>
      </c>
      <c r="J254" s="111">
        <v>190</v>
      </c>
    </row>
    <row r="255" spans="1:10" ht="16.5" customHeight="1" thickBot="1">
      <c r="A255" s="109"/>
      <c r="B255" s="116" t="s">
        <v>201</v>
      </c>
      <c r="C255" s="117" t="s">
        <v>202</v>
      </c>
      <c r="D255" s="111">
        <v>3.95</v>
      </c>
      <c r="E255" s="110">
        <v>30</v>
      </c>
      <c r="F255" s="155">
        <f t="shared" si="6"/>
        <v>5.135</v>
      </c>
      <c r="G255" s="111">
        <v>4.78</v>
      </c>
      <c r="H255" s="111">
        <v>4.05</v>
      </c>
      <c r="I255" s="111">
        <v>0.25</v>
      </c>
      <c r="J255" s="111">
        <v>56.55</v>
      </c>
    </row>
    <row r="256" spans="1:15" ht="16.5" customHeight="1" thickBot="1">
      <c r="A256" s="123"/>
      <c r="B256" s="123" t="s">
        <v>226</v>
      </c>
      <c r="C256" s="123"/>
      <c r="D256" s="157">
        <f>SUM(D251:D255)</f>
        <v>26.99</v>
      </c>
      <c r="E256" s="157"/>
      <c r="F256" s="216">
        <f t="shared" si="6"/>
        <v>35.086999999999996</v>
      </c>
      <c r="G256" s="157">
        <f>SUM(G251:G255)</f>
        <v>28.6378</v>
      </c>
      <c r="H256" s="157">
        <f>SUM(H251:H255)</f>
        <v>28.7312</v>
      </c>
      <c r="I256" s="157">
        <f>SUM(I251:I255)</f>
        <v>89.5724</v>
      </c>
      <c r="J256" s="157">
        <f>SUM(J251:J255)</f>
        <v>626.3216</v>
      </c>
      <c r="K256" s="52">
        <f>J256*100/2350</f>
        <v>26.651982978723403</v>
      </c>
      <c r="L256" s="220"/>
      <c r="M256" s="219"/>
      <c r="N256" s="219"/>
      <c r="O256" s="219"/>
    </row>
    <row r="257" spans="1:15" ht="16.5" customHeight="1" thickBot="1">
      <c r="A257" s="147"/>
      <c r="B257" s="148" t="s">
        <v>33</v>
      </c>
      <c r="C257" s="149"/>
      <c r="D257" s="150"/>
      <c r="E257" s="151"/>
      <c r="F257" s="215"/>
      <c r="G257" s="150"/>
      <c r="H257" s="150"/>
      <c r="I257" s="150"/>
      <c r="J257" s="152"/>
      <c r="K257" s="219"/>
      <c r="L257" s="25">
        <v>2350</v>
      </c>
      <c r="M257" s="219"/>
      <c r="N257" s="219"/>
      <c r="O257" s="219"/>
    </row>
    <row r="258" spans="1:15" ht="16.5" customHeight="1" thickBot="1">
      <c r="A258" s="153" t="s">
        <v>113</v>
      </c>
      <c r="B258" s="153" t="s">
        <v>114</v>
      </c>
      <c r="C258" s="171">
        <v>100</v>
      </c>
      <c r="D258" s="168">
        <v>11.1</v>
      </c>
      <c r="E258" s="171">
        <v>30</v>
      </c>
      <c r="F258" s="155">
        <f>D258*30%+D258</f>
        <v>14.43</v>
      </c>
      <c r="G258" s="168">
        <v>0.81</v>
      </c>
      <c r="H258" s="168">
        <v>4.47</v>
      </c>
      <c r="I258" s="168">
        <v>2.96</v>
      </c>
      <c r="J258" s="168">
        <v>55.29</v>
      </c>
      <c r="K258" s="219"/>
      <c r="L258" s="220"/>
      <c r="M258" s="219"/>
      <c r="N258" s="219"/>
      <c r="O258" s="219"/>
    </row>
    <row r="259" spans="1:15" ht="16.5" customHeight="1" thickBot="1">
      <c r="A259" s="109" t="s">
        <v>115</v>
      </c>
      <c r="B259" s="109" t="s">
        <v>116</v>
      </c>
      <c r="C259" s="115" t="s">
        <v>36</v>
      </c>
      <c r="D259" s="111">
        <v>4.83</v>
      </c>
      <c r="E259" s="110">
        <v>30</v>
      </c>
      <c r="F259" s="155">
        <f>D259*30%+D259</f>
        <v>6.279</v>
      </c>
      <c r="G259" s="111">
        <v>2.47</v>
      </c>
      <c r="H259" s="111">
        <v>5.66</v>
      </c>
      <c r="I259" s="111">
        <v>16.45</v>
      </c>
      <c r="J259" s="111">
        <v>148.31</v>
      </c>
      <c r="K259" s="223"/>
      <c r="L259" s="220"/>
      <c r="M259" s="219"/>
      <c r="N259" s="219"/>
      <c r="O259" s="219"/>
    </row>
    <row r="260" spans="1:15" ht="16.5" customHeight="1" thickBot="1">
      <c r="A260" s="178" t="s">
        <v>117</v>
      </c>
      <c r="B260" s="109" t="s">
        <v>118</v>
      </c>
      <c r="C260" s="115" t="s">
        <v>119</v>
      </c>
      <c r="D260" s="111">
        <v>25.83</v>
      </c>
      <c r="E260" s="110">
        <v>30</v>
      </c>
      <c r="F260" s="155">
        <f>D260*30%+D260</f>
        <v>33.57899999999999</v>
      </c>
      <c r="G260" s="111">
        <v>12.25</v>
      </c>
      <c r="H260" s="111">
        <v>12.25</v>
      </c>
      <c r="I260" s="111">
        <v>47</v>
      </c>
      <c r="J260" s="111">
        <v>384</v>
      </c>
      <c r="K260" s="219"/>
      <c r="L260" s="220"/>
      <c r="M260" s="219"/>
      <c r="N260" s="219"/>
      <c r="O260" s="219"/>
    </row>
    <row r="261" spans="1:15" ht="16.5" customHeight="1" thickBot="1">
      <c r="A261" s="109"/>
      <c r="B261" s="109" t="s">
        <v>120</v>
      </c>
      <c r="C261" s="120" t="s">
        <v>40</v>
      </c>
      <c r="D261" s="111">
        <v>2.58</v>
      </c>
      <c r="E261" s="110">
        <v>30</v>
      </c>
      <c r="F261" s="155">
        <f>D261*30%+D261</f>
        <v>3.354</v>
      </c>
      <c r="G261" s="118">
        <v>3.2</v>
      </c>
      <c r="H261" s="118">
        <v>0.32</v>
      </c>
      <c r="I261" s="118">
        <v>27.46</v>
      </c>
      <c r="J261" s="118">
        <v>74.3</v>
      </c>
      <c r="K261" s="52"/>
      <c r="L261" s="220"/>
      <c r="M261" s="219"/>
      <c r="N261" s="219"/>
      <c r="O261" s="219"/>
    </row>
    <row r="262" spans="1:15" ht="16.5" customHeight="1">
      <c r="A262" s="109" t="s">
        <v>121</v>
      </c>
      <c r="B262" s="109" t="s">
        <v>122</v>
      </c>
      <c r="C262" s="115">
        <v>200</v>
      </c>
      <c r="D262" s="111">
        <v>3.45</v>
      </c>
      <c r="E262" s="110">
        <v>30</v>
      </c>
      <c r="F262" s="155">
        <f>D262*30%+D262</f>
        <v>4.485</v>
      </c>
      <c r="G262" s="111">
        <v>0.2</v>
      </c>
      <c r="H262" s="111">
        <v>0</v>
      </c>
      <c r="I262" s="111">
        <v>17.9</v>
      </c>
      <c r="J262" s="111">
        <v>142</v>
      </c>
      <c r="K262" s="52"/>
      <c r="L262" s="220"/>
      <c r="M262" s="219"/>
      <c r="N262" s="219"/>
      <c r="O262" s="219"/>
    </row>
    <row r="263" spans="1:15" ht="16.5" customHeight="1" thickBot="1">
      <c r="A263" s="176"/>
      <c r="B263" s="123" t="s">
        <v>226</v>
      </c>
      <c r="C263" s="177"/>
      <c r="D263" s="125">
        <f>SUM(D258:D262)</f>
        <v>47.79</v>
      </c>
      <c r="E263" s="125"/>
      <c r="F263" s="125">
        <f>SUM(F258:F262)</f>
        <v>62.126999999999995</v>
      </c>
      <c r="G263" s="125">
        <f>SUM(G258:G262)</f>
        <v>18.93</v>
      </c>
      <c r="H263" s="125">
        <f>SUM(H258:H262)</f>
        <v>22.7</v>
      </c>
      <c r="I263" s="125">
        <f>SUM(I258:I262)</f>
        <v>111.77000000000001</v>
      </c>
      <c r="J263" s="125">
        <f>SUM(J258:J262)</f>
        <v>803.9</v>
      </c>
      <c r="K263" s="52">
        <f>J263*100/2350</f>
        <v>34.208510638297874</v>
      </c>
      <c r="L263" s="220"/>
      <c r="M263" s="219"/>
      <c r="N263" s="219"/>
      <c r="O263" s="219"/>
    </row>
    <row r="264" spans="1:15" ht="16.5" customHeight="1" thickBot="1">
      <c r="A264" s="26"/>
      <c r="B264" s="26" t="s">
        <v>321</v>
      </c>
      <c r="C264" s="27"/>
      <c r="D264" s="33">
        <f>D256+D263</f>
        <v>74.78</v>
      </c>
      <c r="E264" s="33"/>
      <c r="F264" s="33">
        <f>F263+F256</f>
        <v>97.214</v>
      </c>
      <c r="G264" s="24">
        <f>G256+G263</f>
        <v>47.5678</v>
      </c>
      <c r="H264" s="24">
        <f>H256+H263</f>
        <v>51.431200000000004</v>
      </c>
      <c r="I264" s="24">
        <f>I256+I263</f>
        <v>201.3424</v>
      </c>
      <c r="J264" s="24">
        <f>J256+J263</f>
        <v>1430.2215999999999</v>
      </c>
      <c r="K264" s="54">
        <f>K256+K263</f>
        <v>60.86049361702128</v>
      </c>
      <c r="L264" s="220"/>
      <c r="M264" s="219"/>
      <c r="N264" s="219"/>
      <c r="O264" s="219"/>
    </row>
    <row r="265" spans="7:9" ht="16.5" customHeight="1">
      <c r="G265" s="34"/>
      <c r="H265" s="35"/>
      <c r="I265" s="35"/>
    </row>
    <row r="281" spans="2:12" ht="16.5" customHeight="1">
      <c r="B281" s="16" t="s">
        <v>123</v>
      </c>
      <c r="L281" s="6"/>
    </row>
    <row r="282" spans="2:12" ht="16.5" customHeight="1">
      <c r="B282" s="16" t="s">
        <v>124</v>
      </c>
      <c r="C282" s="41"/>
      <c r="D282" s="40"/>
      <c r="E282" s="42"/>
      <c r="F282" s="40"/>
      <c r="G282" s="38"/>
      <c r="H282" s="38"/>
      <c r="I282" s="38"/>
      <c r="J282" s="40"/>
      <c r="L282" s="6"/>
    </row>
    <row r="283" spans="2:12" ht="16.5" customHeight="1">
      <c r="B283" s="16" t="s">
        <v>314</v>
      </c>
      <c r="C283" s="41"/>
      <c r="D283" s="40"/>
      <c r="E283" s="42"/>
      <c r="F283" s="40"/>
      <c r="G283" s="38"/>
      <c r="H283" s="38"/>
      <c r="I283" s="38"/>
      <c r="J283" s="40"/>
      <c r="L283" s="6"/>
    </row>
    <row r="284" spans="2:12" ht="16.5" customHeight="1">
      <c r="B284" s="19" t="s">
        <v>348</v>
      </c>
      <c r="D284" s="17"/>
      <c r="G284" s="17"/>
      <c r="H284" s="17"/>
      <c r="I284" s="17"/>
      <c r="J284" s="17"/>
      <c r="L284" s="6"/>
    </row>
    <row r="285" spans="2:12" ht="16.5" customHeight="1" thickBot="1">
      <c r="B285" s="19"/>
      <c r="D285" s="17"/>
      <c r="G285" s="17"/>
      <c r="H285" s="17"/>
      <c r="I285" s="17"/>
      <c r="J285" s="17"/>
      <c r="L285" s="6"/>
    </row>
    <row r="286" spans="1:12" ht="16.5" customHeight="1" thickBot="1">
      <c r="A286" s="489"/>
      <c r="B286" s="489" t="s">
        <v>11</v>
      </c>
      <c r="C286" s="21" t="s">
        <v>12</v>
      </c>
      <c r="D286" s="494" t="s">
        <v>13</v>
      </c>
      <c r="E286" s="496" t="s">
        <v>14</v>
      </c>
      <c r="F286" s="494" t="s">
        <v>200</v>
      </c>
      <c r="G286" s="498" t="s">
        <v>15</v>
      </c>
      <c r="H286" s="499"/>
      <c r="I286" s="500"/>
      <c r="J286" s="21" t="s">
        <v>16</v>
      </c>
      <c r="L286" s="6"/>
    </row>
    <row r="287" spans="1:12" ht="26.25" customHeight="1" thickBot="1">
      <c r="A287" s="490"/>
      <c r="B287" s="490"/>
      <c r="C287" s="23" t="s">
        <v>17</v>
      </c>
      <c r="D287" s="495"/>
      <c r="E287" s="497"/>
      <c r="F287" s="495"/>
      <c r="G287" s="23" t="s">
        <v>18</v>
      </c>
      <c r="H287" s="23" t="s">
        <v>19</v>
      </c>
      <c r="I287" s="23" t="s">
        <v>20</v>
      </c>
      <c r="J287" s="23" t="s">
        <v>21</v>
      </c>
      <c r="L287" s="6"/>
    </row>
    <row r="288" spans="1:12" ht="16.5" customHeight="1" thickBot="1">
      <c r="A288" s="147"/>
      <c r="B288" s="148" t="s">
        <v>22</v>
      </c>
      <c r="C288" s="149"/>
      <c r="D288" s="150"/>
      <c r="E288" s="151"/>
      <c r="F288" s="150"/>
      <c r="G288" s="150"/>
      <c r="H288" s="150"/>
      <c r="I288" s="150"/>
      <c r="J288" s="152"/>
      <c r="L288" s="6"/>
    </row>
    <row r="289" spans="1:12" ht="16.5" customHeight="1" thickBot="1">
      <c r="A289" s="153" t="s">
        <v>304</v>
      </c>
      <c r="B289" s="153" t="s">
        <v>23</v>
      </c>
      <c r="C289" s="154">
        <v>25</v>
      </c>
      <c r="D289" s="155">
        <v>3.23</v>
      </c>
      <c r="E289" s="156">
        <v>30</v>
      </c>
      <c r="F289" s="155">
        <f>D289*30%+D289</f>
        <v>4.199</v>
      </c>
      <c r="G289" s="154">
        <v>0.61</v>
      </c>
      <c r="H289" s="154">
        <v>0.02</v>
      </c>
      <c r="I289" s="154">
        <v>0.2</v>
      </c>
      <c r="J289" s="155">
        <v>3.46</v>
      </c>
      <c r="L289" s="6"/>
    </row>
    <row r="290" spans="1:12" ht="15.75" thickBot="1">
      <c r="A290" s="116" t="s">
        <v>125</v>
      </c>
      <c r="B290" s="116" t="s">
        <v>188</v>
      </c>
      <c r="C290" s="117" t="s">
        <v>49</v>
      </c>
      <c r="D290" s="118">
        <v>25.18</v>
      </c>
      <c r="E290" s="119">
        <v>30</v>
      </c>
      <c r="F290" s="155">
        <f>D290*30%+D290</f>
        <v>32.734</v>
      </c>
      <c r="G290" s="118">
        <v>20</v>
      </c>
      <c r="H290" s="118">
        <v>19.6</v>
      </c>
      <c r="I290" s="118">
        <v>33</v>
      </c>
      <c r="J290" s="118">
        <v>396</v>
      </c>
      <c r="L290" s="6"/>
    </row>
    <row r="291" spans="1:12" ht="16.5" customHeight="1" thickBot="1">
      <c r="A291" s="116"/>
      <c r="B291" s="116" t="s">
        <v>81</v>
      </c>
      <c r="C291" s="119">
        <v>30</v>
      </c>
      <c r="D291" s="118">
        <v>0.92</v>
      </c>
      <c r="E291" s="119">
        <v>30</v>
      </c>
      <c r="F291" s="155">
        <f>D291*30%+D291</f>
        <v>1.1960000000000002</v>
      </c>
      <c r="G291" s="111">
        <v>1.33</v>
      </c>
      <c r="H291" s="111">
        <v>0.2</v>
      </c>
      <c r="I291" s="111">
        <v>8.4</v>
      </c>
      <c r="J291" s="111">
        <v>42.8</v>
      </c>
      <c r="L291" s="6"/>
    </row>
    <row r="292" spans="1:12" ht="16.5" customHeight="1" thickBot="1">
      <c r="A292" s="116" t="s">
        <v>344</v>
      </c>
      <c r="B292" s="116" t="s">
        <v>51</v>
      </c>
      <c r="C292" s="159" t="s">
        <v>52</v>
      </c>
      <c r="D292" s="118">
        <v>4.62</v>
      </c>
      <c r="E292" s="119">
        <v>30</v>
      </c>
      <c r="F292" s="155">
        <f>D292*30%+D292</f>
        <v>6.006</v>
      </c>
      <c r="G292" s="117">
        <v>1.6</v>
      </c>
      <c r="H292" s="117">
        <v>1.6</v>
      </c>
      <c r="I292" s="117">
        <v>17.3</v>
      </c>
      <c r="J292" s="117">
        <v>87</v>
      </c>
      <c r="L292" s="6"/>
    </row>
    <row r="293" spans="1:12" ht="16.5" customHeight="1" thickBot="1">
      <c r="A293" s="123"/>
      <c r="B293" s="123" t="s">
        <v>226</v>
      </c>
      <c r="C293" s="123"/>
      <c r="D293" s="157">
        <f>SUM(D289:D292)</f>
        <v>33.95</v>
      </c>
      <c r="E293" s="157"/>
      <c r="F293" s="216">
        <f>D293*30%+D293</f>
        <v>44.135000000000005</v>
      </c>
      <c r="G293" s="157">
        <f>SUM(G289:G292)</f>
        <v>23.54</v>
      </c>
      <c r="H293" s="157">
        <f>SUM(H289:H292)</f>
        <v>21.42</v>
      </c>
      <c r="I293" s="157">
        <f>SUM(I289:I292)</f>
        <v>58.900000000000006</v>
      </c>
      <c r="J293" s="157">
        <f>SUM(J289:J292)</f>
        <v>529.26</v>
      </c>
      <c r="K293" s="52">
        <f>J293*100/2350</f>
        <v>22.521702127659573</v>
      </c>
      <c r="L293" s="6"/>
    </row>
    <row r="294" spans="1:12" ht="16.5" customHeight="1" thickBot="1">
      <c r="A294" s="147"/>
      <c r="B294" s="148" t="s">
        <v>127</v>
      </c>
      <c r="C294" s="149"/>
      <c r="D294" s="150"/>
      <c r="E294" s="151"/>
      <c r="F294" s="215"/>
      <c r="G294" s="150"/>
      <c r="H294" s="150"/>
      <c r="I294" s="150"/>
      <c r="J294" s="152"/>
      <c r="L294" s="6"/>
    </row>
    <row r="295" spans="1:12" ht="16.5" customHeight="1" thickBot="1">
      <c r="A295" s="170" t="s">
        <v>128</v>
      </c>
      <c r="B295" s="170" t="s">
        <v>129</v>
      </c>
      <c r="C295" s="167">
        <v>100</v>
      </c>
      <c r="D295" s="168">
        <v>6.71</v>
      </c>
      <c r="E295" s="171">
        <v>30</v>
      </c>
      <c r="F295" s="155">
        <f aca="true" t="shared" si="7" ref="F295:F302">D295*30%+D295</f>
        <v>8.722999999999999</v>
      </c>
      <c r="G295" s="168">
        <v>2.36</v>
      </c>
      <c r="H295" s="168">
        <v>3.1</v>
      </c>
      <c r="I295" s="168">
        <v>2.86</v>
      </c>
      <c r="J295" s="168">
        <v>69.16</v>
      </c>
      <c r="L295" s="6"/>
    </row>
    <row r="296" spans="1:12" ht="16.5" customHeight="1" thickBot="1">
      <c r="A296" s="104" t="s">
        <v>144</v>
      </c>
      <c r="B296" s="104" t="s">
        <v>145</v>
      </c>
      <c r="C296" s="105" t="s">
        <v>70</v>
      </c>
      <c r="D296" s="106">
        <v>11.56</v>
      </c>
      <c r="E296" s="107">
        <v>30</v>
      </c>
      <c r="F296" s="155">
        <f t="shared" si="7"/>
        <v>15.028</v>
      </c>
      <c r="G296" s="111">
        <v>2</v>
      </c>
      <c r="H296" s="111">
        <v>2.4</v>
      </c>
      <c r="I296" s="111">
        <v>14.8</v>
      </c>
      <c r="J296" s="111">
        <v>190</v>
      </c>
      <c r="L296" s="6"/>
    </row>
    <row r="297" spans="1:12" ht="16.5" customHeight="1" thickBot="1">
      <c r="A297" s="109" t="s">
        <v>323</v>
      </c>
      <c r="B297" s="109" t="s">
        <v>324</v>
      </c>
      <c r="C297" s="105" t="s">
        <v>26</v>
      </c>
      <c r="D297" s="106">
        <v>10.07</v>
      </c>
      <c r="E297" s="107">
        <v>30</v>
      </c>
      <c r="F297" s="155">
        <f t="shared" si="7"/>
        <v>13.091000000000001</v>
      </c>
      <c r="G297" s="106">
        <v>17.07</v>
      </c>
      <c r="H297" s="106">
        <v>14.37</v>
      </c>
      <c r="I297" s="106">
        <v>2.74</v>
      </c>
      <c r="J297" s="106">
        <v>166.59</v>
      </c>
      <c r="L297" s="6"/>
    </row>
    <row r="298" spans="1:12" ht="16.5" customHeight="1" thickBot="1">
      <c r="A298" s="109" t="s">
        <v>133</v>
      </c>
      <c r="B298" s="109" t="s">
        <v>134</v>
      </c>
      <c r="C298" s="169">
        <v>150</v>
      </c>
      <c r="D298" s="106">
        <v>2.76</v>
      </c>
      <c r="E298" s="107">
        <v>30</v>
      </c>
      <c r="F298" s="155">
        <f t="shared" si="7"/>
        <v>3.5879999999999996</v>
      </c>
      <c r="G298" s="106">
        <v>4.5</v>
      </c>
      <c r="H298" s="106">
        <v>7.38</v>
      </c>
      <c r="I298" s="106">
        <v>46.26</v>
      </c>
      <c r="J298" s="106">
        <v>202.99</v>
      </c>
      <c r="L298" s="6"/>
    </row>
    <row r="299" spans="1:12" ht="16.5" customHeight="1" thickBot="1">
      <c r="A299" s="109"/>
      <c r="B299" s="109" t="s">
        <v>62</v>
      </c>
      <c r="C299" s="158" t="s">
        <v>40</v>
      </c>
      <c r="D299" s="118">
        <v>1.54</v>
      </c>
      <c r="E299" s="110">
        <v>30</v>
      </c>
      <c r="F299" s="155">
        <f t="shared" si="7"/>
        <v>2.002</v>
      </c>
      <c r="G299" s="118">
        <v>2.67</v>
      </c>
      <c r="H299" s="118">
        <v>0.6</v>
      </c>
      <c r="I299" s="118">
        <v>16.8</v>
      </c>
      <c r="J299" s="118">
        <v>85.6</v>
      </c>
      <c r="L299" s="6"/>
    </row>
    <row r="300" spans="1:12" ht="16.5" customHeight="1" thickBot="1">
      <c r="A300" s="109"/>
      <c r="B300" s="109" t="s">
        <v>191</v>
      </c>
      <c r="C300" s="110">
        <v>200</v>
      </c>
      <c r="D300" s="111">
        <v>7</v>
      </c>
      <c r="E300" s="110">
        <v>30</v>
      </c>
      <c r="F300" s="155">
        <f t="shared" si="7"/>
        <v>9.1</v>
      </c>
      <c r="G300" s="179">
        <v>0.56</v>
      </c>
      <c r="H300" s="179">
        <v>0</v>
      </c>
      <c r="I300" s="179">
        <v>27.89</v>
      </c>
      <c r="J300" s="179">
        <v>93.79</v>
      </c>
      <c r="L300" s="6"/>
    </row>
    <row r="301" spans="1:12" ht="16.5" customHeight="1" thickBot="1">
      <c r="A301" s="109"/>
      <c r="B301" s="109" t="s">
        <v>347</v>
      </c>
      <c r="C301" s="110">
        <v>150</v>
      </c>
      <c r="D301" s="111">
        <v>9</v>
      </c>
      <c r="E301" s="110">
        <v>30</v>
      </c>
      <c r="F301" s="155">
        <f t="shared" si="7"/>
        <v>11.7</v>
      </c>
      <c r="G301" s="179">
        <v>1.2</v>
      </c>
      <c r="H301" s="179">
        <v>0.56</v>
      </c>
      <c r="I301" s="179">
        <v>11.72</v>
      </c>
      <c r="J301" s="179">
        <v>96</v>
      </c>
      <c r="L301" s="6"/>
    </row>
    <row r="302" spans="1:12" ht="16.5" customHeight="1" thickBot="1">
      <c r="A302" s="176"/>
      <c r="B302" s="123" t="s">
        <v>226</v>
      </c>
      <c r="C302" s="177"/>
      <c r="D302" s="125">
        <f>SUM(D295:D301)</f>
        <v>48.64</v>
      </c>
      <c r="E302" s="125"/>
      <c r="F302" s="155">
        <f t="shared" si="7"/>
        <v>63.232</v>
      </c>
      <c r="G302" s="125">
        <f>SUM(G295:G301)</f>
        <v>30.36</v>
      </c>
      <c r="H302" s="125">
        <f>SUM(H295:H301)</f>
        <v>28.409999999999997</v>
      </c>
      <c r="I302" s="125">
        <f>SUM(I295:I301)</f>
        <v>123.07</v>
      </c>
      <c r="J302" s="125">
        <f>SUM(J295:J301)</f>
        <v>904.13</v>
      </c>
      <c r="K302" s="52">
        <f>J302*100/2350</f>
        <v>38.473617021276596</v>
      </c>
      <c r="L302" s="6"/>
    </row>
    <row r="303" spans="1:12" ht="16.5" customHeight="1" thickBot="1">
      <c r="A303" s="26"/>
      <c r="B303" s="26" t="s">
        <v>284</v>
      </c>
      <c r="C303" s="27"/>
      <c r="D303" s="33">
        <f>D302+D293</f>
        <v>82.59</v>
      </c>
      <c r="E303" s="33"/>
      <c r="F303" s="33">
        <f>F302+F293</f>
        <v>107.367</v>
      </c>
      <c r="G303" s="49">
        <f>G293+G302</f>
        <v>53.9</v>
      </c>
      <c r="H303" s="49">
        <f>H293+H302</f>
        <v>49.83</v>
      </c>
      <c r="I303" s="49">
        <f>I293+I302</f>
        <v>181.97</v>
      </c>
      <c r="J303" s="49">
        <f>J293+J302</f>
        <v>1433.3899999999999</v>
      </c>
      <c r="L303" s="6"/>
    </row>
    <row r="304" spans="2:12" ht="16.5" customHeight="1">
      <c r="B304" s="20"/>
      <c r="D304" s="17"/>
      <c r="G304" s="17"/>
      <c r="H304" s="17"/>
      <c r="I304" s="17"/>
      <c r="J304" s="17"/>
      <c r="L304" s="6"/>
    </row>
    <row r="305" spans="2:12" ht="16.5" customHeight="1">
      <c r="B305" s="20"/>
      <c r="D305" s="17"/>
      <c r="G305" s="17"/>
      <c r="H305" s="17"/>
      <c r="I305" s="17"/>
      <c r="J305" s="17"/>
      <c r="L305" s="6"/>
    </row>
    <row r="306" spans="2:12" ht="16.5" customHeight="1">
      <c r="B306" s="74"/>
      <c r="C306" s="41"/>
      <c r="D306" s="40"/>
      <c r="E306" s="42"/>
      <c r="F306" s="40"/>
      <c r="G306" s="34"/>
      <c r="H306" s="35"/>
      <c r="I306" s="35"/>
      <c r="J306" s="40"/>
      <c r="L306" s="6"/>
    </row>
    <row r="307" spans="2:12" ht="16.5" customHeight="1">
      <c r="B307" s="74"/>
      <c r="C307" s="41"/>
      <c r="D307" s="40"/>
      <c r="E307" s="42"/>
      <c r="F307" s="40"/>
      <c r="G307" s="38"/>
      <c r="H307" s="75"/>
      <c r="I307" s="75"/>
      <c r="J307" s="40"/>
      <c r="L307" s="6"/>
    </row>
    <row r="308" spans="2:12" ht="16.5" customHeight="1">
      <c r="B308" s="74"/>
      <c r="C308" s="41"/>
      <c r="D308" s="40"/>
      <c r="E308" s="42"/>
      <c r="F308" s="40"/>
      <c r="G308" s="38"/>
      <c r="H308" s="38"/>
      <c r="I308" s="38"/>
      <c r="J308" s="40"/>
      <c r="L308" s="6"/>
    </row>
    <row r="309" spans="2:12" ht="16.5" customHeight="1">
      <c r="B309" s="74"/>
      <c r="C309" s="41"/>
      <c r="D309" s="40"/>
      <c r="E309" s="42"/>
      <c r="F309" s="40"/>
      <c r="G309" s="38"/>
      <c r="H309" s="38"/>
      <c r="I309" s="38"/>
      <c r="J309" s="40"/>
      <c r="L309" s="6"/>
    </row>
    <row r="310" spans="2:12" ht="16.5" customHeight="1">
      <c r="B310" s="74"/>
      <c r="C310" s="41"/>
      <c r="D310" s="40"/>
      <c r="E310" s="42"/>
      <c r="F310" s="40"/>
      <c r="G310" s="38"/>
      <c r="H310" s="38"/>
      <c r="I310" s="38"/>
      <c r="J310" s="40"/>
      <c r="L310" s="6"/>
    </row>
    <row r="311" spans="2:12" ht="16.5" customHeight="1">
      <c r="B311" s="74"/>
      <c r="C311" s="41"/>
      <c r="D311" s="40"/>
      <c r="E311" s="42"/>
      <c r="F311" s="40"/>
      <c r="G311" s="38"/>
      <c r="H311" s="38"/>
      <c r="I311" s="38"/>
      <c r="J311" s="40"/>
      <c r="L311" s="6"/>
    </row>
    <row r="312" spans="2:12" ht="16.5" customHeight="1">
      <c r="B312" s="74"/>
      <c r="C312" s="41"/>
      <c r="D312" s="40"/>
      <c r="E312" s="42"/>
      <c r="F312" s="40"/>
      <c r="G312" s="38"/>
      <c r="H312" s="38"/>
      <c r="I312" s="38"/>
      <c r="J312" s="40"/>
      <c r="L312" s="6"/>
    </row>
    <row r="313" spans="2:12" ht="16.5" customHeight="1">
      <c r="B313" s="74"/>
      <c r="C313" s="41"/>
      <c r="D313" s="40"/>
      <c r="E313" s="42"/>
      <c r="F313" s="40"/>
      <c r="G313" s="38"/>
      <c r="H313" s="38"/>
      <c r="I313" s="38"/>
      <c r="J313" s="40"/>
      <c r="L313" s="6"/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6"/>
    </row>
    <row r="315" spans="2:12" ht="16.5" customHeight="1">
      <c r="B315" s="74"/>
      <c r="C315" s="41"/>
      <c r="D315" s="40"/>
      <c r="E315" s="42"/>
      <c r="F315" s="40"/>
      <c r="G315" s="38"/>
      <c r="H315" s="38"/>
      <c r="I315" s="38"/>
      <c r="J315" s="40"/>
      <c r="L315" s="6"/>
    </row>
    <row r="316" spans="2:12" ht="16.5" customHeight="1">
      <c r="B316" s="74"/>
      <c r="C316" s="41"/>
      <c r="D316" s="40"/>
      <c r="E316" s="42"/>
      <c r="F316" s="40"/>
      <c r="G316" s="38"/>
      <c r="H316" s="38"/>
      <c r="I316" s="38"/>
      <c r="J316" s="40"/>
      <c r="L316" s="6"/>
    </row>
    <row r="317" spans="2:12" ht="16.5" customHeight="1">
      <c r="B317" s="74"/>
      <c r="C317" s="41"/>
      <c r="D317" s="40"/>
      <c r="E317" s="42"/>
      <c r="F317" s="40"/>
      <c r="G317" s="38"/>
      <c r="H317" s="38"/>
      <c r="I317" s="38"/>
      <c r="J317" s="40"/>
      <c r="L317" s="6"/>
    </row>
    <row r="318" spans="2:12" ht="16.5" customHeight="1">
      <c r="B318" s="74"/>
      <c r="C318" s="41"/>
      <c r="D318" s="40"/>
      <c r="E318" s="42"/>
      <c r="F318" s="40"/>
      <c r="G318" s="38"/>
      <c r="H318" s="38"/>
      <c r="I318" s="38"/>
      <c r="J318" s="40"/>
      <c r="L318" s="6"/>
    </row>
    <row r="319" spans="2:12" ht="16.5" customHeight="1">
      <c r="B319" s="74"/>
      <c r="C319" s="41"/>
      <c r="D319" s="40"/>
      <c r="E319" s="42"/>
      <c r="F319" s="40"/>
      <c r="G319" s="38"/>
      <c r="H319" s="38"/>
      <c r="I319" s="38"/>
      <c r="J319" s="40"/>
      <c r="L319" s="6"/>
    </row>
    <row r="320" spans="2:12" ht="16.5" customHeight="1">
      <c r="B320" s="74"/>
      <c r="C320" s="41"/>
      <c r="D320" s="40"/>
      <c r="E320" s="42"/>
      <c r="F320" s="40"/>
      <c r="G320" s="38"/>
      <c r="H320" s="38"/>
      <c r="I320" s="38"/>
      <c r="J320" s="40"/>
      <c r="L320" s="6"/>
    </row>
    <row r="321" spans="2:12" ht="16.5" customHeight="1">
      <c r="B321" s="16" t="s">
        <v>63</v>
      </c>
      <c r="C321" s="41"/>
      <c r="D321" s="40"/>
      <c r="E321" s="42"/>
      <c r="F321" s="40"/>
      <c r="G321" s="38"/>
      <c r="H321" s="38"/>
      <c r="I321" s="38"/>
      <c r="J321" s="40"/>
      <c r="L321" s="6"/>
    </row>
    <row r="322" spans="2:12" ht="16.5" customHeight="1">
      <c r="B322" s="16" t="s">
        <v>135</v>
      </c>
      <c r="C322" s="41"/>
      <c r="D322" s="40"/>
      <c r="E322" s="42"/>
      <c r="F322" s="40"/>
      <c r="G322" s="38"/>
      <c r="H322" s="38"/>
      <c r="I322" s="38"/>
      <c r="J322" s="40"/>
      <c r="L322" s="6"/>
    </row>
    <row r="323" spans="2:12" ht="16.5" customHeight="1">
      <c r="B323" s="16" t="s">
        <v>314</v>
      </c>
      <c r="C323" s="41"/>
      <c r="D323" s="40"/>
      <c r="E323" s="42"/>
      <c r="F323" s="40"/>
      <c r="G323" s="38"/>
      <c r="H323" s="38"/>
      <c r="I323" s="38"/>
      <c r="J323" s="40"/>
      <c r="L323" s="6"/>
    </row>
    <row r="324" spans="2:12" ht="16.5" customHeight="1">
      <c r="B324" s="19" t="s">
        <v>348</v>
      </c>
      <c r="C324" s="41"/>
      <c r="D324" s="40"/>
      <c r="E324" s="42"/>
      <c r="F324" s="40"/>
      <c r="G324" s="38"/>
      <c r="H324" s="38"/>
      <c r="I324" s="38"/>
      <c r="J324" s="40"/>
      <c r="L324" s="6"/>
    </row>
    <row r="325" spans="2:12" ht="16.5" customHeight="1">
      <c r="B325" s="20"/>
      <c r="C325" s="41"/>
      <c r="D325" s="40"/>
      <c r="E325" s="42"/>
      <c r="F325" s="40"/>
      <c r="G325" s="38"/>
      <c r="H325" s="38"/>
      <c r="I325" s="38"/>
      <c r="J325" s="40"/>
      <c r="L325" s="6"/>
    </row>
    <row r="326" spans="2:12" ht="16.5" customHeight="1">
      <c r="B326" s="20"/>
      <c r="C326" s="41"/>
      <c r="D326" s="40"/>
      <c r="E326" s="42"/>
      <c r="F326" s="40"/>
      <c r="G326" s="38"/>
      <c r="H326" s="38"/>
      <c r="I326" s="38"/>
      <c r="J326" s="40"/>
      <c r="L326" s="6"/>
    </row>
    <row r="327" spans="2:12" ht="16.5" customHeight="1" thickBot="1">
      <c r="B327" s="20"/>
      <c r="C327" s="41"/>
      <c r="D327" s="40"/>
      <c r="E327" s="42"/>
      <c r="F327" s="40"/>
      <c r="G327" s="38"/>
      <c r="H327" s="38"/>
      <c r="I327" s="38"/>
      <c r="J327" s="40"/>
      <c r="L327" s="6"/>
    </row>
    <row r="328" spans="1:12" ht="16.5" customHeight="1" thickBot="1">
      <c r="A328" s="489"/>
      <c r="B328" s="489" t="s">
        <v>11</v>
      </c>
      <c r="C328" s="21" t="s">
        <v>12</v>
      </c>
      <c r="D328" s="494" t="s">
        <v>13</v>
      </c>
      <c r="E328" s="496" t="s">
        <v>14</v>
      </c>
      <c r="F328" s="494" t="s">
        <v>200</v>
      </c>
      <c r="G328" s="491" t="s">
        <v>15</v>
      </c>
      <c r="H328" s="492"/>
      <c r="I328" s="493"/>
      <c r="J328" s="22" t="s">
        <v>16</v>
      </c>
      <c r="L328" s="6"/>
    </row>
    <row r="329" spans="1:12" ht="27" customHeight="1" thickBot="1">
      <c r="A329" s="490"/>
      <c r="B329" s="490"/>
      <c r="C329" s="23" t="s">
        <v>17</v>
      </c>
      <c r="D329" s="495"/>
      <c r="E329" s="497"/>
      <c r="F329" s="495"/>
      <c r="G329" s="24" t="s">
        <v>18</v>
      </c>
      <c r="H329" s="24" t="s">
        <v>19</v>
      </c>
      <c r="I329" s="24" t="s">
        <v>20</v>
      </c>
      <c r="J329" s="24" t="s">
        <v>21</v>
      </c>
      <c r="L329" s="6"/>
    </row>
    <row r="330" spans="1:12" ht="16.5" customHeight="1" thickBot="1">
      <c r="A330" s="147"/>
      <c r="B330" s="148" t="s">
        <v>22</v>
      </c>
      <c r="C330" s="149"/>
      <c r="D330" s="150"/>
      <c r="E330" s="151"/>
      <c r="F330" s="150"/>
      <c r="G330" s="150"/>
      <c r="H330" s="150"/>
      <c r="I330" s="150"/>
      <c r="J330" s="152"/>
      <c r="L330" s="6"/>
    </row>
    <row r="331" spans="1:10" ht="16.5" customHeight="1" thickBot="1">
      <c r="A331" s="153" t="s">
        <v>136</v>
      </c>
      <c r="B331" s="153" t="s">
        <v>137</v>
      </c>
      <c r="C331" s="154">
        <v>150</v>
      </c>
      <c r="D331" s="155">
        <v>22.56</v>
      </c>
      <c r="E331" s="156">
        <v>30</v>
      </c>
      <c r="F331" s="155">
        <f>D331*30%+D331</f>
        <v>29.328</v>
      </c>
      <c r="G331" s="155">
        <v>12.6</v>
      </c>
      <c r="H331" s="155">
        <v>16.35</v>
      </c>
      <c r="I331" s="155">
        <v>31.05</v>
      </c>
      <c r="J331" s="155">
        <v>256</v>
      </c>
    </row>
    <row r="332" spans="1:10" ht="16.5" customHeight="1" thickBot="1">
      <c r="A332" s="109" t="s">
        <v>343</v>
      </c>
      <c r="B332" s="116" t="s">
        <v>138</v>
      </c>
      <c r="C332" s="119">
        <v>200</v>
      </c>
      <c r="D332" s="111">
        <v>5.76</v>
      </c>
      <c r="E332" s="119">
        <v>30</v>
      </c>
      <c r="F332" s="155">
        <f>D332*30%+D332</f>
        <v>7.4879999999999995</v>
      </c>
      <c r="G332" s="118">
        <v>2.5</v>
      </c>
      <c r="H332" s="118">
        <v>3.6</v>
      </c>
      <c r="I332" s="118">
        <v>28.7</v>
      </c>
      <c r="J332" s="118">
        <v>152</v>
      </c>
    </row>
    <row r="333" spans="1:11" ht="16.5" customHeight="1" thickBot="1">
      <c r="A333" s="116"/>
      <c r="B333" s="109" t="s">
        <v>351</v>
      </c>
      <c r="C333" s="110">
        <v>150</v>
      </c>
      <c r="D333" s="111">
        <v>9</v>
      </c>
      <c r="E333" s="110">
        <v>30</v>
      </c>
      <c r="F333" s="155">
        <f>D333*30%+D333</f>
        <v>11.7</v>
      </c>
      <c r="G333" s="179">
        <v>1.2</v>
      </c>
      <c r="H333" s="179">
        <v>0.56</v>
      </c>
      <c r="I333" s="179">
        <v>11.72</v>
      </c>
      <c r="J333" s="179">
        <v>56.7</v>
      </c>
      <c r="K333" s="219"/>
    </row>
    <row r="334" spans="1:11" ht="16.5" customHeight="1" thickBot="1">
      <c r="A334" s="164"/>
      <c r="B334" s="116" t="s">
        <v>53</v>
      </c>
      <c r="C334" s="119">
        <v>30</v>
      </c>
      <c r="D334" s="118">
        <v>0.93</v>
      </c>
      <c r="E334" s="119">
        <v>30</v>
      </c>
      <c r="F334" s="155">
        <f>D334*30%+D334</f>
        <v>1.209</v>
      </c>
      <c r="G334" s="118">
        <v>2.2278000000000002</v>
      </c>
      <c r="H334" s="118">
        <v>0.2112</v>
      </c>
      <c r="I334" s="118">
        <v>13.3224</v>
      </c>
      <c r="J334" s="118">
        <v>64.1016</v>
      </c>
      <c r="K334" s="219"/>
    </row>
    <row r="335" spans="1:11" ht="16.5" customHeight="1" thickBot="1">
      <c r="A335" s="123"/>
      <c r="B335" s="123" t="s">
        <v>226</v>
      </c>
      <c r="C335" s="123"/>
      <c r="D335" s="157">
        <f>SUM(D331:D334)</f>
        <v>38.25</v>
      </c>
      <c r="E335" s="157"/>
      <c r="F335" s="216">
        <f>SUM(F331:F334)</f>
        <v>49.72500000000001</v>
      </c>
      <c r="G335" s="157">
        <f>SUM(G331:G333)</f>
        <v>16.3</v>
      </c>
      <c r="H335" s="157">
        <f>SUM(H331:H333)</f>
        <v>20.51</v>
      </c>
      <c r="I335" s="157">
        <f>SUM(I331:I333)</f>
        <v>71.47</v>
      </c>
      <c r="J335" s="157">
        <f>SUM(J331:J333)</f>
        <v>464.7</v>
      </c>
      <c r="K335" s="76">
        <f>J335*M337/L338</f>
        <v>19.77446808510638</v>
      </c>
    </row>
    <row r="336" spans="1:10" ht="16.5" customHeight="1" thickBot="1">
      <c r="A336" s="147"/>
      <c r="B336" s="148" t="s">
        <v>33</v>
      </c>
      <c r="C336" s="149"/>
      <c r="D336" s="150"/>
      <c r="E336" s="151"/>
      <c r="F336" s="215"/>
      <c r="G336" s="150"/>
      <c r="H336" s="150"/>
      <c r="I336" s="150"/>
      <c r="J336" s="152"/>
    </row>
    <row r="337" spans="1:13" ht="16.5" thickBot="1">
      <c r="A337" s="180" t="s">
        <v>85</v>
      </c>
      <c r="B337" s="180" t="s">
        <v>213</v>
      </c>
      <c r="C337" s="167">
        <v>100</v>
      </c>
      <c r="D337" s="168">
        <v>5.51</v>
      </c>
      <c r="E337" s="171">
        <v>30</v>
      </c>
      <c r="F337" s="155">
        <f aca="true" t="shared" si="8" ref="F337:F342">D337*30%+D337</f>
        <v>7.162999999999999</v>
      </c>
      <c r="G337" s="168">
        <v>1.13</v>
      </c>
      <c r="H337" s="168">
        <v>9.15</v>
      </c>
      <c r="I337" s="168">
        <v>7.59</v>
      </c>
      <c r="J337" s="168">
        <v>117.25</v>
      </c>
      <c r="K337" s="77"/>
      <c r="M337" s="6">
        <v>100</v>
      </c>
    </row>
    <row r="338" spans="1:12" ht="16.5" customHeight="1" thickBot="1">
      <c r="A338" s="109" t="s">
        <v>139</v>
      </c>
      <c r="B338" s="109" t="s">
        <v>214</v>
      </c>
      <c r="C338" s="115" t="s">
        <v>36</v>
      </c>
      <c r="D338" s="111">
        <v>7.94</v>
      </c>
      <c r="E338" s="110">
        <v>30</v>
      </c>
      <c r="F338" s="155">
        <f t="shared" si="8"/>
        <v>10.322000000000001</v>
      </c>
      <c r="G338" s="111">
        <v>8.92</v>
      </c>
      <c r="H338" s="111">
        <v>4.56</v>
      </c>
      <c r="I338" s="111">
        <v>21.28</v>
      </c>
      <c r="J338" s="111">
        <v>181</v>
      </c>
      <c r="L338" s="25">
        <v>2350</v>
      </c>
    </row>
    <row r="339" spans="1:10" ht="16.5" customHeight="1" thickBot="1">
      <c r="A339" s="109" t="s">
        <v>327</v>
      </c>
      <c r="B339" s="109" t="s">
        <v>328</v>
      </c>
      <c r="C339" s="105" t="s">
        <v>59</v>
      </c>
      <c r="D339" s="106">
        <v>13.4</v>
      </c>
      <c r="E339" s="107">
        <v>30</v>
      </c>
      <c r="F339" s="155">
        <f t="shared" si="8"/>
        <v>17.42</v>
      </c>
      <c r="G339" s="115">
        <v>9.98</v>
      </c>
      <c r="H339" s="115">
        <v>22.29</v>
      </c>
      <c r="I339" s="115">
        <v>11.47</v>
      </c>
      <c r="J339" s="181">
        <v>281</v>
      </c>
    </row>
    <row r="340" spans="1:10" ht="16.5" customHeight="1" thickBot="1">
      <c r="A340" s="211"/>
      <c r="B340" s="109" t="s">
        <v>292</v>
      </c>
      <c r="C340" s="110">
        <v>150</v>
      </c>
      <c r="D340" s="111">
        <v>6.11</v>
      </c>
      <c r="E340" s="110">
        <v>30</v>
      </c>
      <c r="F340" s="155">
        <f t="shared" si="8"/>
        <v>7.9430000000000005</v>
      </c>
      <c r="G340" s="111">
        <v>4.6</v>
      </c>
      <c r="H340" s="111">
        <v>6.13</v>
      </c>
      <c r="I340" s="111">
        <v>28.53</v>
      </c>
      <c r="J340" s="111">
        <v>197</v>
      </c>
    </row>
    <row r="341" spans="1:10" ht="16.5" customHeight="1" thickBot="1">
      <c r="A341" s="109"/>
      <c r="B341" s="109" t="s">
        <v>62</v>
      </c>
      <c r="C341" s="158" t="s">
        <v>40</v>
      </c>
      <c r="D341" s="118">
        <v>1.54</v>
      </c>
      <c r="E341" s="110">
        <v>30</v>
      </c>
      <c r="F341" s="155">
        <f t="shared" si="8"/>
        <v>2.002</v>
      </c>
      <c r="G341" s="118">
        <v>2.67</v>
      </c>
      <c r="H341" s="118">
        <v>0.6</v>
      </c>
      <c r="I341" s="118">
        <v>16.8</v>
      </c>
      <c r="J341" s="118">
        <v>85.6</v>
      </c>
    </row>
    <row r="342" spans="1:10" ht="16.5" customHeight="1">
      <c r="A342" s="109" t="s">
        <v>149</v>
      </c>
      <c r="B342" s="109" t="s">
        <v>150</v>
      </c>
      <c r="C342" s="115">
        <v>200</v>
      </c>
      <c r="D342" s="111">
        <v>5.27</v>
      </c>
      <c r="E342" s="110">
        <v>30</v>
      </c>
      <c r="F342" s="155">
        <f t="shared" si="8"/>
        <v>6.850999999999999</v>
      </c>
      <c r="G342" s="111">
        <v>0.8</v>
      </c>
      <c r="H342" s="111">
        <v>0</v>
      </c>
      <c r="I342" s="111">
        <v>45.9</v>
      </c>
      <c r="J342" s="111">
        <v>182</v>
      </c>
    </row>
    <row r="343" spans="1:24" s="25" customFormat="1" ht="16.5" customHeight="1" thickBot="1">
      <c r="A343" s="176"/>
      <c r="B343" s="123" t="s">
        <v>226</v>
      </c>
      <c r="C343" s="177"/>
      <c r="D343" s="125">
        <f>SUM(D337:D342)</f>
        <v>39.769999999999996</v>
      </c>
      <c r="E343" s="125"/>
      <c r="F343" s="125">
        <f>SUM(F337:F342)</f>
        <v>51.701</v>
      </c>
      <c r="G343" s="125">
        <f>SUM(G337:G342)</f>
        <v>28.100000000000005</v>
      </c>
      <c r="H343" s="125">
        <f>SUM(H337:H342)</f>
        <v>42.730000000000004</v>
      </c>
      <c r="I343" s="125">
        <f>SUM(I337:I342)</f>
        <v>131.57</v>
      </c>
      <c r="J343" s="125">
        <f>SUM(J337:J342)</f>
        <v>1043.85</v>
      </c>
      <c r="K343" s="78">
        <f>J343*M337/L338</f>
        <v>44.41914893617021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s="25" customFormat="1" ht="16.5" customHeight="1" thickBot="1">
      <c r="A344" s="26"/>
      <c r="B344" s="26" t="s">
        <v>285</v>
      </c>
      <c r="C344" s="27"/>
      <c r="D344" s="33">
        <f>D343+D335</f>
        <v>78.02</v>
      </c>
      <c r="E344" s="33"/>
      <c r="F344" s="33">
        <f>F343+F335</f>
        <v>101.42600000000002</v>
      </c>
      <c r="G344" s="33">
        <f>G335+G343</f>
        <v>44.400000000000006</v>
      </c>
      <c r="H344" s="33">
        <f>H335+H343</f>
        <v>63.24000000000001</v>
      </c>
      <c r="I344" s="33">
        <f>I335+I343</f>
        <v>203.04</v>
      </c>
      <c r="J344" s="33">
        <f>J335+J343</f>
        <v>1508.55</v>
      </c>
      <c r="K344" s="78">
        <f>J344*M337/L338</f>
        <v>64.1936170212766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2:24" s="25" customFormat="1" ht="16.5" customHeight="1">
      <c r="B345" s="74"/>
      <c r="C345" s="41"/>
      <c r="D345" s="40"/>
      <c r="E345" s="42"/>
      <c r="F345" s="40"/>
      <c r="G345" s="34"/>
      <c r="H345" s="35"/>
      <c r="I345" s="35"/>
      <c r="J345" s="40"/>
      <c r="K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2:24" s="25" customFormat="1" ht="16.5" customHeight="1">
      <c r="B346" s="74"/>
      <c r="C346" s="41"/>
      <c r="D346" s="40"/>
      <c r="E346" s="42"/>
      <c r="F346" s="40"/>
      <c r="G346" s="38"/>
      <c r="H346" s="58"/>
      <c r="I346" s="58"/>
      <c r="J346" s="40"/>
      <c r="K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50" spans="2:24" s="25" customFormat="1" ht="16.5" customHeight="1">
      <c r="B350" s="74"/>
      <c r="C350" s="41"/>
      <c r="D350" s="40"/>
      <c r="E350" s="42"/>
      <c r="F350" s="40"/>
      <c r="G350" s="38"/>
      <c r="H350" s="38"/>
      <c r="I350" s="38"/>
      <c r="J350" s="40"/>
      <c r="K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2:24" s="25" customFormat="1" ht="16.5" customHeight="1">
      <c r="B351" s="74"/>
      <c r="C351" s="41"/>
      <c r="D351" s="40"/>
      <c r="E351" s="42"/>
      <c r="F351" s="40"/>
      <c r="G351" s="38"/>
      <c r="H351" s="38"/>
      <c r="I351" s="38"/>
      <c r="J351" s="40"/>
      <c r="K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2:24" s="25" customFormat="1" ht="16.5" customHeight="1">
      <c r="B352" s="74"/>
      <c r="C352" s="41"/>
      <c r="D352" s="40"/>
      <c r="E352" s="42"/>
      <c r="F352" s="40"/>
      <c r="G352" s="38"/>
      <c r="H352" s="38"/>
      <c r="I352" s="38"/>
      <c r="J352" s="40"/>
      <c r="K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2:24" s="25" customFormat="1" ht="16.5" customHeight="1">
      <c r="B353" s="74"/>
      <c r="C353" s="41"/>
      <c r="D353" s="40"/>
      <c r="E353" s="42"/>
      <c r="F353" s="40"/>
      <c r="G353" s="38"/>
      <c r="H353" s="38"/>
      <c r="I353" s="38"/>
      <c r="J353" s="40"/>
      <c r="K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2:24" s="25" customFormat="1" ht="16.5" customHeight="1">
      <c r="B354" s="74"/>
      <c r="C354" s="41"/>
      <c r="D354" s="40"/>
      <c r="E354" s="42"/>
      <c r="F354" s="40"/>
      <c r="G354" s="38"/>
      <c r="H354" s="38"/>
      <c r="I354" s="38"/>
      <c r="J354" s="40"/>
      <c r="K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2:24" s="25" customFormat="1" ht="16.5" customHeight="1">
      <c r="B355" s="74"/>
      <c r="C355" s="41"/>
      <c r="D355" s="40"/>
      <c r="E355" s="42"/>
      <c r="F355" s="40"/>
      <c r="G355" s="38"/>
      <c r="H355" s="38"/>
      <c r="I355" s="38"/>
      <c r="J355" s="40"/>
      <c r="K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2:24" s="25" customFormat="1" ht="16.5" customHeight="1">
      <c r="B356" s="74"/>
      <c r="C356" s="41"/>
      <c r="D356" s="40"/>
      <c r="E356" s="42"/>
      <c r="F356" s="40"/>
      <c r="G356" s="38"/>
      <c r="H356" s="38"/>
      <c r="I356" s="38"/>
      <c r="J356" s="40"/>
      <c r="K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2:24" s="25" customFormat="1" ht="16.5" customHeight="1">
      <c r="B357" s="74"/>
      <c r="C357" s="41"/>
      <c r="D357" s="40"/>
      <c r="E357" s="42"/>
      <c r="F357" s="40"/>
      <c r="G357" s="38"/>
      <c r="H357" s="38"/>
      <c r="I357" s="38"/>
      <c r="J357" s="40"/>
      <c r="K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2:24" s="25" customFormat="1" ht="16.5" customHeight="1">
      <c r="B358" s="74"/>
      <c r="C358" s="41"/>
      <c r="D358" s="40"/>
      <c r="E358" s="42"/>
      <c r="F358" s="40"/>
      <c r="G358" s="38"/>
      <c r="H358" s="38"/>
      <c r="I358" s="38"/>
      <c r="J358" s="40"/>
      <c r="K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2:24" s="25" customFormat="1" ht="16.5" customHeight="1">
      <c r="B359" s="74"/>
      <c r="C359" s="41"/>
      <c r="D359" s="40"/>
      <c r="E359" s="42"/>
      <c r="F359" s="40"/>
      <c r="G359" s="38"/>
      <c r="H359" s="38"/>
      <c r="I359" s="38"/>
      <c r="J359" s="40"/>
      <c r="K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2:24" s="25" customFormat="1" ht="16.5" customHeight="1">
      <c r="B360" s="74"/>
      <c r="C360" s="41"/>
      <c r="D360" s="40"/>
      <c r="E360" s="42"/>
      <c r="F360" s="40"/>
      <c r="G360" s="38"/>
      <c r="H360" s="38"/>
      <c r="I360" s="38"/>
      <c r="J360" s="40"/>
      <c r="K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2:24" s="25" customFormat="1" ht="16.5" customHeight="1">
      <c r="B361" s="74"/>
      <c r="C361" s="41"/>
      <c r="D361" s="40"/>
      <c r="E361" s="42"/>
      <c r="F361" s="40"/>
      <c r="G361" s="38"/>
      <c r="H361" s="38"/>
      <c r="I361" s="38"/>
      <c r="J361" s="40"/>
      <c r="K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2:10" ht="16.5" customHeight="1">
      <c r="B362" s="16" t="s">
        <v>142</v>
      </c>
      <c r="C362" s="41"/>
      <c r="D362" s="40"/>
      <c r="E362" s="42"/>
      <c r="F362" s="40"/>
      <c r="G362" s="38"/>
      <c r="H362" s="38"/>
      <c r="I362" s="38"/>
      <c r="J362" s="40"/>
    </row>
    <row r="363" spans="2:10" ht="16.5" customHeight="1">
      <c r="B363" s="16" t="s">
        <v>135</v>
      </c>
      <c r="C363" s="41"/>
      <c r="D363" s="40"/>
      <c r="E363" s="42"/>
      <c r="F363" s="40"/>
      <c r="G363" s="38"/>
      <c r="H363" s="38"/>
      <c r="I363" s="38"/>
      <c r="J363" s="40"/>
    </row>
    <row r="364" spans="2:10" ht="16.5" customHeight="1">
      <c r="B364" s="16" t="s">
        <v>314</v>
      </c>
      <c r="C364" s="41"/>
      <c r="D364" s="40"/>
      <c r="E364" s="42"/>
      <c r="F364" s="40"/>
      <c r="G364" s="38"/>
      <c r="H364" s="38"/>
      <c r="I364" s="38"/>
      <c r="J364" s="40"/>
    </row>
    <row r="365" spans="2:10" ht="16.5" customHeight="1">
      <c r="B365" s="19" t="s">
        <v>348</v>
      </c>
      <c r="D365" s="17"/>
      <c r="G365" s="17"/>
      <c r="H365" s="17"/>
      <c r="I365" s="17"/>
      <c r="J365" s="17"/>
    </row>
    <row r="366" spans="2:10" ht="16.5" customHeight="1">
      <c r="B366" s="19"/>
      <c r="D366" s="17"/>
      <c r="G366" s="17"/>
      <c r="H366" s="17"/>
      <c r="I366" s="17"/>
      <c r="J366" s="17"/>
    </row>
    <row r="367" spans="2:10" ht="16.5" customHeight="1">
      <c r="B367" s="19"/>
      <c r="D367" s="17"/>
      <c r="G367" s="17"/>
      <c r="H367" s="17"/>
      <c r="I367" s="17"/>
      <c r="J367" s="17"/>
    </row>
    <row r="368" spans="2:10" ht="16.5" customHeight="1" thickBot="1">
      <c r="B368" s="19"/>
      <c r="D368" s="17"/>
      <c r="G368" s="17"/>
      <c r="H368" s="17"/>
      <c r="I368" s="17"/>
      <c r="J368" s="17"/>
    </row>
    <row r="369" spans="1:10" ht="16.5" customHeight="1" thickBot="1">
      <c r="A369" s="489"/>
      <c r="B369" s="489" t="s">
        <v>11</v>
      </c>
      <c r="C369" s="21" t="s">
        <v>12</v>
      </c>
      <c r="D369" s="494" t="s">
        <v>13</v>
      </c>
      <c r="E369" s="496" t="s">
        <v>14</v>
      </c>
      <c r="F369" s="494" t="s">
        <v>200</v>
      </c>
      <c r="G369" s="491" t="s">
        <v>15</v>
      </c>
      <c r="H369" s="492"/>
      <c r="I369" s="493"/>
      <c r="J369" s="22" t="s">
        <v>16</v>
      </c>
    </row>
    <row r="370" spans="1:10" ht="23.25" customHeight="1" thickBot="1">
      <c r="A370" s="490"/>
      <c r="B370" s="490"/>
      <c r="C370" s="23" t="s">
        <v>17</v>
      </c>
      <c r="D370" s="495"/>
      <c r="E370" s="497"/>
      <c r="F370" s="495"/>
      <c r="G370" s="24" t="s">
        <v>18</v>
      </c>
      <c r="H370" s="24" t="s">
        <v>19</v>
      </c>
      <c r="I370" s="24" t="s">
        <v>20</v>
      </c>
      <c r="J370" s="24" t="s">
        <v>21</v>
      </c>
    </row>
    <row r="371" spans="1:10" ht="16.5" customHeight="1" thickBot="1">
      <c r="A371" s="147"/>
      <c r="B371" s="148" t="s">
        <v>108</v>
      </c>
      <c r="C371" s="149"/>
      <c r="D371" s="150"/>
      <c r="E371" s="151"/>
      <c r="F371" s="150"/>
      <c r="G371" s="150"/>
      <c r="H371" s="150"/>
      <c r="I371" s="150"/>
      <c r="J371" s="152"/>
    </row>
    <row r="372" spans="1:10" ht="16.5" customHeight="1" thickBot="1">
      <c r="A372" s="153" t="s">
        <v>325</v>
      </c>
      <c r="B372" s="153" t="s">
        <v>298</v>
      </c>
      <c r="C372" s="154">
        <v>60</v>
      </c>
      <c r="D372" s="155">
        <v>1.52</v>
      </c>
      <c r="E372" s="156">
        <v>30</v>
      </c>
      <c r="F372" s="155">
        <f aca="true" t="shared" si="9" ref="F372:F377">D372*30%+D372</f>
        <v>1.976</v>
      </c>
      <c r="G372" s="155">
        <v>0.26</v>
      </c>
      <c r="H372" s="155">
        <v>0.04</v>
      </c>
      <c r="I372" s="155">
        <v>1.05</v>
      </c>
      <c r="J372" s="155">
        <v>5.62</v>
      </c>
    </row>
    <row r="373" spans="1:10" ht="16.5" customHeight="1" thickBot="1">
      <c r="A373" s="116" t="s">
        <v>326</v>
      </c>
      <c r="B373" s="182" t="s">
        <v>215</v>
      </c>
      <c r="C373" s="183" t="s">
        <v>219</v>
      </c>
      <c r="D373" s="184">
        <v>12.51</v>
      </c>
      <c r="E373" s="119">
        <v>30</v>
      </c>
      <c r="F373" s="155">
        <f t="shared" si="9"/>
        <v>16.262999999999998</v>
      </c>
      <c r="G373" s="118">
        <v>6.4</v>
      </c>
      <c r="H373" s="118">
        <v>14.27</v>
      </c>
      <c r="I373" s="118">
        <v>12.51</v>
      </c>
      <c r="J373" s="118">
        <v>204.04</v>
      </c>
    </row>
    <row r="374" spans="1:10" ht="16.5" customHeight="1" thickBot="1">
      <c r="A374" s="116" t="s">
        <v>340</v>
      </c>
      <c r="B374" s="182" t="s">
        <v>216</v>
      </c>
      <c r="C374" s="183">
        <v>150</v>
      </c>
      <c r="D374" s="184">
        <v>1.78</v>
      </c>
      <c r="E374" s="119">
        <v>30</v>
      </c>
      <c r="F374" s="155">
        <f t="shared" si="9"/>
        <v>2.314</v>
      </c>
      <c r="G374" s="106">
        <v>5.25</v>
      </c>
      <c r="H374" s="106">
        <v>6.15</v>
      </c>
      <c r="I374" s="106">
        <v>35.25</v>
      </c>
      <c r="J374" s="106">
        <v>221</v>
      </c>
    </row>
    <row r="375" spans="1:10" ht="16.5" customHeight="1" thickBot="1">
      <c r="A375" s="116"/>
      <c r="B375" s="109" t="s">
        <v>30</v>
      </c>
      <c r="C375" s="110">
        <v>30</v>
      </c>
      <c r="D375" s="111">
        <v>2.16</v>
      </c>
      <c r="E375" s="110">
        <v>30</v>
      </c>
      <c r="F375" s="155">
        <f t="shared" si="9"/>
        <v>2.8080000000000003</v>
      </c>
      <c r="G375" s="111">
        <v>3.102</v>
      </c>
      <c r="H375" s="111">
        <v>1.1219999999999999</v>
      </c>
      <c r="I375" s="111">
        <v>9.03175</v>
      </c>
      <c r="J375" s="111">
        <v>58.633</v>
      </c>
    </row>
    <row r="376" spans="1:13" ht="16.5" customHeight="1" thickBot="1">
      <c r="A376" s="116" t="s">
        <v>345</v>
      </c>
      <c r="B376" s="116" t="s">
        <v>32</v>
      </c>
      <c r="C376" s="159">
        <v>200</v>
      </c>
      <c r="D376" s="111">
        <v>7.06</v>
      </c>
      <c r="E376" s="119">
        <v>30</v>
      </c>
      <c r="F376" s="155">
        <f t="shared" si="9"/>
        <v>9.177999999999999</v>
      </c>
      <c r="G376" s="111">
        <v>4.9</v>
      </c>
      <c r="H376" s="111">
        <v>5</v>
      </c>
      <c r="I376" s="111">
        <v>32.5</v>
      </c>
      <c r="J376" s="111">
        <v>190</v>
      </c>
      <c r="K376" s="219"/>
      <c r="L376" s="220"/>
      <c r="M376" s="219"/>
    </row>
    <row r="377" spans="1:11" ht="16.5" customHeight="1" thickBot="1">
      <c r="A377" s="123"/>
      <c r="B377" s="123" t="s">
        <v>226</v>
      </c>
      <c r="C377" s="163"/>
      <c r="D377" s="157">
        <f>SUM(D372:D376)</f>
        <v>25.029999999999998</v>
      </c>
      <c r="E377" s="157"/>
      <c r="F377" s="216">
        <f t="shared" si="9"/>
        <v>32.538999999999994</v>
      </c>
      <c r="G377" s="157">
        <f>SUM(G372:G376)</f>
        <v>19.912</v>
      </c>
      <c r="H377" s="157">
        <f>SUM(H372:H376)</f>
        <v>26.582</v>
      </c>
      <c r="I377" s="157">
        <f>SUM(I372:I376)</f>
        <v>90.34175</v>
      </c>
      <c r="J377" s="157">
        <f>SUM(J372:J376)</f>
        <v>679.2929999999999</v>
      </c>
      <c r="K377" s="78">
        <f>J377*100/2350</f>
        <v>28.906085106382974</v>
      </c>
    </row>
    <row r="378" spans="1:13" ht="16.5" customHeight="1" thickBot="1">
      <c r="A378" s="147"/>
      <c r="B378" s="148" t="s">
        <v>33</v>
      </c>
      <c r="C378" s="149"/>
      <c r="D378" s="150"/>
      <c r="E378" s="151"/>
      <c r="F378" s="215"/>
      <c r="G378" s="150"/>
      <c r="H378" s="150"/>
      <c r="I378" s="150"/>
      <c r="J378" s="152"/>
      <c r="K378" s="78"/>
      <c r="L378" s="25">
        <v>2350</v>
      </c>
      <c r="M378" s="6">
        <v>100</v>
      </c>
    </row>
    <row r="379" spans="1:11" ht="16.5" customHeight="1" thickBot="1">
      <c r="A379" s="153" t="s">
        <v>184</v>
      </c>
      <c r="B379" s="153" t="s">
        <v>76</v>
      </c>
      <c r="C379" s="185">
        <v>25</v>
      </c>
      <c r="D379" s="186">
        <v>3.13</v>
      </c>
      <c r="E379" s="187">
        <v>30</v>
      </c>
      <c r="F379" s="155">
        <f aca="true" t="shared" si="10" ref="F379:F384">D379*30%+D379</f>
        <v>4.069</v>
      </c>
      <c r="G379" s="168">
        <v>1.83</v>
      </c>
      <c r="H379" s="168">
        <v>0.57</v>
      </c>
      <c r="I379" s="168">
        <v>10.33</v>
      </c>
      <c r="J379" s="168">
        <v>53.79</v>
      </c>
      <c r="K379" s="219"/>
    </row>
    <row r="380" spans="1:11" ht="16.5" customHeight="1" thickBot="1">
      <c r="A380" s="109" t="s">
        <v>130</v>
      </c>
      <c r="B380" s="109" t="s">
        <v>131</v>
      </c>
      <c r="C380" s="110" t="s">
        <v>132</v>
      </c>
      <c r="D380" s="111">
        <v>4.27</v>
      </c>
      <c r="E380" s="110">
        <v>30</v>
      </c>
      <c r="F380" s="155">
        <f t="shared" si="10"/>
        <v>5.550999999999999</v>
      </c>
      <c r="G380" s="111">
        <v>2.12</v>
      </c>
      <c r="H380" s="111">
        <v>5.57</v>
      </c>
      <c r="I380" s="111">
        <v>13.5</v>
      </c>
      <c r="J380" s="111">
        <v>113.26</v>
      </c>
      <c r="K380" s="219"/>
    </row>
    <row r="381" spans="1:11" ht="16.5" customHeight="1" thickBot="1">
      <c r="A381" s="104" t="s">
        <v>147</v>
      </c>
      <c r="B381" s="104" t="s">
        <v>148</v>
      </c>
      <c r="C381" s="105">
        <v>200</v>
      </c>
      <c r="D381" s="106">
        <v>16.58</v>
      </c>
      <c r="E381" s="107">
        <v>30</v>
      </c>
      <c r="F381" s="155">
        <f t="shared" si="10"/>
        <v>21.554</v>
      </c>
      <c r="G381" s="106">
        <v>16.8</v>
      </c>
      <c r="H381" s="106">
        <v>19.61</v>
      </c>
      <c r="I381" s="106">
        <v>37.39</v>
      </c>
      <c r="J381" s="106">
        <v>393.26</v>
      </c>
      <c r="K381" s="219"/>
    </row>
    <row r="382" spans="1:11" ht="16.5" customHeight="1" thickBot="1">
      <c r="A382" s="109"/>
      <c r="B382" s="109" t="s">
        <v>120</v>
      </c>
      <c r="C382" s="120" t="s">
        <v>40</v>
      </c>
      <c r="D382" s="111">
        <v>2.58</v>
      </c>
      <c r="E382" s="110">
        <v>30</v>
      </c>
      <c r="F382" s="155">
        <f t="shared" si="10"/>
        <v>3.354</v>
      </c>
      <c r="G382" s="118">
        <v>3.2</v>
      </c>
      <c r="H382" s="118">
        <v>0.32</v>
      </c>
      <c r="I382" s="118">
        <v>27.46</v>
      </c>
      <c r="J382" s="118">
        <v>74.3</v>
      </c>
      <c r="K382" s="219"/>
    </row>
    <row r="383" spans="1:13" ht="16.5" customHeight="1" thickBot="1">
      <c r="A383" s="109"/>
      <c r="B383" s="109" t="s">
        <v>191</v>
      </c>
      <c r="C383" s="110">
        <v>200</v>
      </c>
      <c r="D383" s="111">
        <v>7</v>
      </c>
      <c r="E383" s="110">
        <v>30</v>
      </c>
      <c r="F383" s="155">
        <f t="shared" si="10"/>
        <v>9.1</v>
      </c>
      <c r="G383" s="179">
        <v>0.56</v>
      </c>
      <c r="H383" s="179">
        <v>0</v>
      </c>
      <c r="I383" s="179">
        <v>27.89</v>
      </c>
      <c r="J383" s="179">
        <v>103</v>
      </c>
      <c r="K383" s="219"/>
      <c r="L383" s="220"/>
      <c r="M383" s="219"/>
    </row>
    <row r="384" spans="1:13" ht="16.5" customHeight="1">
      <c r="A384" s="109"/>
      <c r="B384" s="109" t="s">
        <v>105</v>
      </c>
      <c r="C384" s="115">
        <v>200</v>
      </c>
      <c r="D384" s="111">
        <v>11</v>
      </c>
      <c r="E384" s="110">
        <v>30</v>
      </c>
      <c r="F384" s="155">
        <f t="shared" si="10"/>
        <v>14.3</v>
      </c>
      <c r="G384" s="111">
        <v>0.75</v>
      </c>
      <c r="H384" s="111">
        <v>0.75</v>
      </c>
      <c r="I384" s="111">
        <v>19.25</v>
      </c>
      <c r="J384" s="111">
        <v>96</v>
      </c>
      <c r="K384" s="219"/>
      <c r="L384" s="220"/>
      <c r="M384" s="219"/>
    </row>
    <row r="385" spans="1:11" ht="16.5" customHeight="1" thickBot="1">
      <c r="A385" s="176"/>
      <c r="B385" s="123" t="s">
        <v>226</v>
      </c>
      <c r="C385" s="177"/>
      <c r="D385" s="125">
        <f>SUM(D379:D384)</f>
        <v>44.559999999999995</v>
      </c>
      <c r="E385" s="125"/>
      <c r="F385" s="125">
        <f>SUM(F379:F384)</f>
        <v>57.928</v>
      </c>
      <c r="G385" s="125">
        <f>SUM(G379:G384)</f>
        <v>25.259999999999998</v>
      </c>
      <c r="H385" s="125">
        <f>SUM(H379:H384)</f>
        <v>26.82</v>
      </c>
      <c r="I385" s="125">
        <f>SUM(I379:I384)</f>
        <v>135.82</v>
      </c>
      <c r="J385" s="125">
        <f>SUM(J379:J384)</f>
        <v>833.6099999999999</v>
      </c>
      <c r="K385" s="78">
        <f>J385*100/2350</f>
        <v>35.4727659574468</v>
      </c>
    </row>
    <row r="386" spans="1:24" s="25" customFormat="1" ht="16.5" customHeight="1" thickBot="1">
      <c r="A386" s="26"/>
      <c r="B386" s="26" t="s">
        <v>285</v>
      </c>
      <c r="C386" s="27"/>
      <c r="D386" s="33">
        <f>D385+D377</f>
        <v>69.58999999999999</v>
      </c>
      <c r="E386" s="33"/>
      <c r="F386" s="33">
        <f>F385+F377</f>
        <v>90.46699999999998</v>
      </c>
      <c r="G386" s="24">
        <f>G377+G385</f>
        <v>45.172</v>
      </c>
      <c r="H386" s="24">
        <f>H377+H385</f>
        <v>53.402</v>
      </c>
      <c r="I386" s="24">
        <f>I377+I385</f>
        <v>226.16174999999998</v>
      </c>
      <c r="J386" s="24">
        <f>J377+J385</f>
        <v>1512.9029999999998</v>
      </c>
      <c r="K386" s="78" t="e">
        <f>J386*M378/#REF!</f>
        <v>#REF!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2:24" s="25" customFormat="1" ht="16.5" customHeight="1">
      <c r="B387" s="74"/>
      <c r="C387" s="41"/>
      <c r="D387" s="40"/>
      <c r="E387" s="42"/>
      <c r="F387" s="40"/>
      <c r="G387" s="34"/>
      <c r="H387" s="35"/>
      <c r="I387" s="35"/>
      <c r="J387" s="40"/>
      <c r="K387" s="21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2:24" s="25" customFormat="1" ht="16.5" customHeight="1">
      <c r="B388" s="6"/>
      <c r="C388" s="6"/>
      <c r="D388" s="6"/>
      <c r="E388" s="18"/>
      <c r="F388" s="17"/>
      <c r="G388" s="6"/>
      <c r="H388" s="6"/>
      <c r="I388" s="6"/>
      <c r="J388" s="6"/>
      <c r="K388" s="21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2:24" s="25" customFormat="1" ht="16.5" customHeight="1">
      <c r="B389" s="74"/>
      <c r="C389" s="41"/>
      <c r="D389" s="40"/>
      <c r="E389" s="42"/>
      <c r="F389" s="40"/>
      <c r="G389" s="38"/>
      <c r="H389" s="58"/>
      <c r="I389" s="58"/>
      <c r="J389" s="40"/>
      <c r="K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2:24" s="25" customFormat="1" ht="16.5" customHeight="1">
      <c r="B390" s="74"/>
      <c r="C390" s="74"/>
      <c r="D390" s="74"/>
      <c r="E390" s="74"/>
      <c r="F390" s="74"/>
      <c r="G390" s="74"/>
      <c r="H390" s="74"/>
      <c r="I390" s="74"/>
      <c r="J390" s="74"/>
      <c r="K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2:24" s="25" customFormat="1" ht="16.5" customHeight="1">
      <c r="B391" s="74"/>
      <c r="C391" s="41"/>
      <c r="D391" s="40"/>
      <c r="E391" s="42"/>
      <c r="F391" s="40"/>
      <c r="G391" s="38"/>
      <c r="H391" s="38"/>
      <c r="I391" s="38"/>
      <c r="J391" s="40"/>
      <c r="K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2:24" s="25" customFormat="1" ht="16.5" customHeight="1">
      <c r="B392" s="74"/>
      <c r="C392" s="41"/>
      <c r="D392" s="40"/>
      <c r="E392" s="42"/>
      <c r="F392" s="40"/>
      <c r="G392" s="38"/>
      <c r="H392" s="38"/>
      <c r="I392" s="38"/>
      <c r="J392" s="40"/>
      <c r="K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2:24" s="25" customFormat="1" ht="16.5" customHeight="1">
      <c r="B393" s="74"/>
      <c r="C393" s="41"/>
      <c r="D393" s="40"/>
      <c r="E393" s="42"/>
      <c r="F393" s="40"/>
      <c r="G393" s="38"/>
      <c r="H393" s="38"/>
      <c r="I393" s="38"/>
      <c r="J393" s="40"/>
      <c r="K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2:24" s="25" customFormat="1" ht="16.5" customHeight="1">
      <c r="B394" s="74"/>
      <c r="C394" s="41"/>
      <c r="D394" s="40"/>
      <c r="E394" s="42"/>
      <c r="F394" s="40"/>
      <c r="G394" s="38"/>
      <c r="H394" s="38"/>
      <c r="I394" s="38"/>
      <c r="J394" s="40"/>
      <c r="K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2:24" s="25" customFormat="1" ht="16.5" customHeight="1">
      <c r="B395" s="74"/>
      <c r="C395" s="41"/>
      <c r="D395" s="40"/>
      <c r="E395" s="42"/>
      <c r="F395" s="40"/>
      <c r="G395" s="38"/>
      <c r="H395" s="38"/>
      <c r="I395" s="38"/>
      <c r="J395" s="40"/>
      <c r="K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2:24" s="25" customFormat="1" ht="16.5" customHeight="1">
      <c r="B396" s="74"/>
      <c r="C396" s="41"/>
      <c r="D396" s="40"/>
      <c r="E396" s="42"/>
      <c r="F396" s="40"/>
      <c r="G396" s="38"/>
      <c r="H396" s="38"/>
      <c r="I396" s="38"/>
      <c r="J396" s="40"/>
      <c r="K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2:24" s="25" customFormat="1" ht="16.5" customHeight="1">
      <c r="B397" s="74"/>
      <c r="C397" s="41"/>
      <c r="D397" s="40"/>
      <c r="E397" s="42"/>
      <c r="F397" s="40"/>
      <c r="G397" s="38"/>
      <c r="H397" s="38"/>
      <c r="I397" s="38"/>
      <c r="J397" s="40"/>
      <c r="K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2:24" s="25" customFormat="1" ht="16.5" customHeight="1">
      <c r="B398" s="74"/>
      <c r="C398" s="41"/>
      <c r="D398" s="40"/>
      <c r="E398" s="42"/>
      <c r="F398" s="40"/>
      <c r="G398" s="38"/>
      <c r="H398" s="38"/>
      <c r="I398" s="38"/>
      <c r="J398" s="40"/>
      <c r="K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2:24" s="25" customFormat="1" ht="16.5" customHeight="1">
      <c r="B399" s="74"/>
      <c r="C399" s="41"/>
      <c r="D399" s="40"/>
      <c r="E399" s="42"/>
      <c r="F399" s="40"/>
      <c r="G399" s="38"/>
      <c r="H399" s="38"/>
      <c r="I399" s="38"/>
      <c r="J399" s="40"/>
      <c r="K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2:24" s="25" customFormat="1" ht="16.5" customHeight="1">
      <c r="B400" s="74"/>
      <c r="C400" s="41"/>
      <c r="D400" s="40"/>
      <c r="E400" s="42"/>
      <c r="F400" s="40"/>
      <c r="G400" s="38"/>
      <c r="H400" s="38"/>
      <c r="I400" s="38"/>
      <c r="J400" s="40"/>
      <c r="K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2:24" s="25" customFormat="1" ht="16.5" customHeight="1">
      <c r="B401" s="74"/>
      <c r="C401" s="41"/>
      <c r="D401" s="40"/>
      <c r="E401" s="42"/>
      <c r="F401" s="40"/>
      <c r="G401" s="38"/>
      <c r="H401" s="38"/>
      <c r="I401" s="38"/>
      <c r="J401" s="40"/>
      <c r="K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2:24" s="25" customFormat="1" ht="16.5" customHeight="1">
      <c r="B402" s="16" t="s">
        <v>151</v>
      </c>
      <c r="C402" s="41"/>
      <c r="D402" s="40"/>
      <c r="E402" s="42"/>
      <c r="F402" s="40"/>
      <c r="G402" s="38"/>
      <c r="H402" s="38"/>
      <c r="I402" s="38"/>
      <c r="J402" s="40"/>
      <c r="K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2:10" ht="16.5" customHeight="1">
      <c r="B403" s="16" t="s">
        <v>152</v>
      </c>
      <c r="C403" s="41"/>
      <c r="D403" s="40"/>
      <c r="E403" s="42"/>
      <c r="F403" s="40"/>
      <c r="G403" s="38"/>
      <c r="H403" s="38"/>
      <c r="I403" s="38"/>
      <c r="J403" s="40"/>
    </row>
    <row r="404" spans="2:10" ht="16.5" customHeight="1">
      <c r="B404" s="16" t="s">
        <v>314</v>
      </c>
      <c r="D404" s="17"/>
      <c r="G404" s="17"/>
      <c r="H404" s="17"/>
      <c r="I404" s="17"/>
      <c r="J404" s="17"/>
    </row>
    <row r="405" spans="2:10" ht="16.5" customHeight="1">
      <c r="B405" s="19" t="s">
        <v>348</v>
      </c>
      <c r="D405" s="17"/>
      <c r="G405" s="17"/>
      <c r="H405" s="17"/>
      <c r="I405" s="17"/>
      <c r="J405" s="17"/>
    </row>
    <row r="406" spans="2:10" ht="16.5" customHeight="1">
      <c r="B406" s="16"/>
      <c r="D406" s="17"/>
      <c r="G406" s="17"/>
      <c r="H406" s="17"/>
      <c r="I406" s="17"/>
      <c r="J406" s="17"/>
    </row>
    <row r="407" spans="2:10" ht="16.5" customHeight="1">
      <c r="B407" s="19"/>
      <c r="D407" s="17"/>
      <c r="G407" s="17"/>
      <c r="H407" s="17"/>
      <c r="I407" s="17"/>
      <c r="J407" s="17"/>
    </row>
    <row r="408" spans="2:10" ht="16.5" customHeight="1" thickBot="1">
      <c r="B408" s="19"/>
      <c r="D408" s="17"/>
      <c r="G408" s="17"/>
      <c r="H408" s="17"/>
      <c r="I408" s="17"/>
      <c r="J408" s="17"/>
    </row>
    <row r="409" spans="1:10" ht="16.5" customHeight="1" thickBot="1">
      <c r="A409" s="489"/>
      <c r="B409" s="489" t="s">
        <v>11</v>
      </c>
      <c r="C409" s="21" t="s">
        <v>12</v>
      </c>
      <c r="D409" s="494" t="s">
        <v>13</v>
      </c>
      <c r="E409" s="496" t="s">
        <v>14</v>
      </c>
      <c r="F409" s="494" t="s">
        <v>200</v>
      </c>
      <c r="G409" s="491" t="s">
        <v>15</v>
      </c>
      <c r="H409" s="492"/>
      <c r="I409" s="493"/>
      <c r="J409" s="22" t="s">
        <v>16</v>
      </c>
    </row>
    <row r="410" spans="1:10" ht="24.75" customHeight="1" thickBot="1">
      <c r="A410" s="490"/>
      <c r="B410" s="490"/>
      <c r="C410" s="23" t="s">
        <v>17</v>
      </c>
      <c r="D410" s="495"/>
      <c r="E410" s="497"/>
      <c r="F410" s="495"/>
      <c r="G410" s="24" t="s">
        <v>18</v>
      </c>
      <c r="H410" s="24" t="s">
        <v>19</v>
      </c>
      <c r="I410" s="24" t="s">
        <v>20</v>
      </c>
      <c r="J410" s="24" t="s">
        <v>21</v>
      </c>
    </row>
    <row r="411" spans="1:10" ht="18" customHeight="1" thickBot="1">
      <c r="A411" s="147"/>
      <c r="B411" s="148" t="s">
        <v>108</v>
      </c>
      <c r="C411" s="149"/>
      <c r="D411" s="150"/>
      <c r="E411" s="151"/>
      <c r="F411" s="150"/>
      <c r="G411" s="150"/>
      <c r="H411" s="150"/>
      <c r="I411" s="150"/>
      <c r="J411" s="152"/>
    </row>
    <row r="412" spans="1:10" ht="18" customHeight="1" thickBot="1">
      <c r="A412" s="153" t="s">
        <v>304</v>
      </c>
      <c r="B412" s="153" t="s">
        <v>153</v>
      </c>
      <c r="C412" s="154">
        <v>25</v>
      </c>
      <c r="D412" s="155">
        <v>2.65</v>
      </c>
      <c r="E412" s="156">
        <v>30</v>
      </c>
      <c r="F412" s="155">
        <f aca="true" t="shared" si="11" ref="F412:F418">D412*30%+D412</f>
        <v>3.445</v>
      </c>
      <c r="G412" s="168">
        <v>1.55</v>
      </c>
      <c r="H412" s="168">
        <v>0.04</v>
      </c>
      <c r="I412" s="168">
        <v>0.71</v>
      </c>
      <c r="J412" s="168">
        <v>9.42</v>
      </c>
    </row>
    <row r="413" spans="1:10" ht="16.5" customHeight="1" thickBot="1">
      <c r="A413" s="116" t="s">
        <v>154</v>
      </c>
      <c r="B413" s="116" t="s">
        <v>155</v>
      </c>
      <c r="C413" s="117" t="s">
        <v>26</v>
      </c>
      <c r="D413" s="118">
        <v>11.37</v>
      </c>
      <c r="E413" s="119">
        <v>30</v>
      </c>
      <c r="F413" s="155">
        <f t="shared" si="11"/>
        <v>14.780999999999999</v>
      </c>
      <c r="G413" s="118">
        <v>19.57</v>
      </c>
      <c r="H413" s="118">
        <v>21.59</v>
      </c>
      <c r="I413" s="118">
        <v>18.4</v>
      </c>
      <c r="J413" s="118">
        <v>215</v>
      </c>
    </row>
    <row r="414" spans="1:10" ht="18" customHeight="1" thickBot="1">
      <c r="A414" s="116" t="s">
        <v>79</v>
      </c>
      <c r="B414" s="116" t="s">
        <v>80</v>
      </c>
      <c r="C414" s="158" t="s">
        <v>29</v>
      </c>
      <c r="D414" s="118">
        <v>4.8</v>
      </c>
      <c r="E414" s="119">
        <v>30</v>
      </c>
      <c r="F414" s="155">
        <f t="shared" si="11"/>
        <v>6.24</v>
      </c>
      <c r="G414" s="111">
        <v>3.15</v>
      </c>
      <c r="H414" s="111">
        <v>6.75</v>
      </c>
      <c r="I414" s="111">
        <v>21.9</v>
      </c>
      <c r="J414" s="111">
        <v>163.5</v>
      </c>
    </row>
    <row r="415" spans="1:10" ht="16.5" customHeight="1" thickBot="1">
      <c r="A415" s="116"/>
      <c r="B415" s="116" t="s">
        <v>53</v>
      </c>
      <c r="C415" s="119">
        <v>30</v>
      </c>
      <c r="D415" s="118">
        <v>0.93</v>
      </c>
      <c r="E415" s="119">
        <v>30</v>
      </c>
      <c r="F415" s="155">
        <f t="shared" si="11"/>
        <v>1.209</v>
      </c>
      <c r="G415" s="118">
        <v>2.2278000000000002</v>
      </c>
      <c r="H415" s="118">
        <v>0.2112</v>
      </c>
      <c r="I415" s="118">
        <v>13.3224</v>
      </c>
      <c r="J415" s="118">
        <v>64.1016</v>
      </c>
    </row>
    <row r="416" spans="1:10" ht="16.5" customHeight="1" thickBot="1">
      <c r="A416" s="116" t="s">
        <v>156</v>
      </c>
      <c r="B416" s="116" t="s">
        <v>73</v>
      </c>
      <c r="C416" s="117">
        <v>200</v>
      </c>
      <c r="D416" s="118">
        <v>4.76</v>
      </c>
      <c r="E416" s="119">
        <v>30</v>
      </c>
      <c r="F416" s="155">
        <f t="shared" si="11"/>
        <v>6.188</v>
      </c>
      <c r="G416" s="117">
        <v>1.6</v>
      </c>
      <c r="H416" s="117">
        <v>1.6</v>
      </c>
      <c r="I416" s="117">
        <v>17.3</v>
      </c>
      <c r="J416" s="117">
        <v>87</v>
      </c>
    </row>
    <row r="417" spans="1:10" ht="16.5" customHeight="1" thickBot="1">
      <c r="A417" s="116"/>
      <c r="B417" s="116" t="s">
        <v>217</v>
      </c>
      <c r="C417" s="117">
        <v>200</v>
      </c>
      <c r="D417" s="118">
        <v>11</v>
      </c>
      <c r="E417" s="119">
        <v>30</v>
      </c>
      <c r="F417" s="155">
        <f t="shared" si="11"/>
        <v>14.3</v>
      </c>
      <c r="G417" s="118">
        <v>1.2</v>
      </c>
      <c r="H417" s="118">
        <v>0.45</v>
      </c>
      <c r="I417" s="118">
        <v>14.7</v>
      </c>
      <c r="J417" s="118">
        <v>54.65</v>
      </c>
    </row>
    <row r="418" spans="1:11" ht="16.5" customHeight="1" thickBot="1">
      <c r="A418" s="160"/>
      <c r="B418" s="123" t="s">
        <v>226</v>
      </c>
      <c r="C418" s="123"/>
      <c r="D418" s="125">
        <f>SUM(D412:D417)</f>
        <v>35.51</v>
      </c>
      <c r="E418" s="125"/>
      <c r="F418" s="216">
        <f t="shared" si="11"/>
        <v>46.163</v>
      </c>
      <c r="G418" s="125">
        <f>SUM(G412:G417)</f>
        <v>29.2978</v>
      </c>
      <c r="H418" s="125">
        <f>SUM(H412:H417)</f>
        <v>30.6412</v>
      </c>
      <c r="I418" s="125">
        <f>SUM(I412:I417)</f>
        <v>86.3324</v>
      </c>
      <c r="J418" s="125">
        <f>SUM(J412:J417)</f>
        <v>593.6716</v>
      </c>
      <c r="K418" s="54"/>
    </row>
    <row r="419" spans="1:14" ht="16.5" customHeight="1" thickBot="1">
      <c r="A419" s="147"/>
      <c r="B419" s="148" t="s">
        <v>127</v>
      </c>
      <c r="C419" s="149"/>
      <c r="D419" s="150"/>
      <c r="E419" s="151"/>
      <c r="F419" s="215"/>
      <c r="G419" s="150"/>
      <c r="H419" s="150"/>
      <c r="I419" s="150"/>
      <c r="J419" s="152"/>
      <c r="N419" s="6">
        <v>10</v>
      </c>
    </row>
    <row r="420" spans="1:10" ht="16.5" customHeight="1" thickBot="1">
      <c r="A420" s="153" t="s">
        <v>158</v>
      </c>
      <c r="B420" s="153" t="s">
        <v>159</v>
      </c>
      <c r="C420" s="154">
        <v>100</v>
      </c>
      <c r="D420" s="155">
        <v>7.35</v>
      </c>
      <c r="E420" s="156">
        <v>30</v>
      </c>
      <c r="F420" s="155">
        <f aca="true" t="shared" si="12" ref="F420:F425">D420*30%+D420</f>
        <v>9.555</v>
      </c>
      <c r="G420" s="155">
        <v>3.77</v>
      </c>
      <c r="H420" s="155">
        <v>14.43</v>
      </c>
      <c r="I420" s="155">
        <v>7.65</v>
      </c>
      <c r="J420" s="155">
        <v>175.45</v>
      </c>
    </row>
    <row r="421" spans="1:10" ht="16.5" customHeight="1" thickBot="1">
      <c r="A421" s="116" t="s">
        <v>160</v>
      </c>
      <c r="B421" s="116" t="s">
        <v>161</v>
      </c>
      <c r="C421" s="117">
        <v>250</v>
      </c>
      <c r="D421" s="118">
        <v>2.81</v>
      </c>
      <c r="E421" s="119">
        <v>30</v>
      </c>
      <c r="F421" s="155">
        <f t="shared" si="12"/>
        <v>3.653</v>
      </c>
      <c r="G421" s="118">
        <v>2.8</v>
      </c>
      <c r="H421" s="118">
        <v>5.8</v>
      </c>
      <c r="I421" s="118">
        <v>13.9</v>
      </c>
      <c r="J421" s="118">
        <v>120</v>
      </c>
    </row>
    <row r="422" spans="1:10" ht="16.5" customHeight="1" thickBot="1">
      <c r="A422" s="116" t="s">
        <v>198</v>
      </c>
      <c r="B422" s="116" t="s">
        <v>196</v>
      </c>
      <c r="C422" s="117" t="s">
        <v>197</v>
      </c>
      <c r="D422" s="118">
        <v>33.84</v>
      </c>
      <c r="E422" s="119">
        <v>30</v>
      </c>
      <c r="F422" s="155">
        <f t="shared" si="12"/>
        <v>43.992000000000004</v>
      </c>
      <c r="G422" s="118">
        <v>23</v>
      </c>
      <c r="H422" s="118">
        <v>25</v>
      </c>
      <c r="I422" s="118">
        <v>4</v>
      </c>
      <c r="J422" s="118">
        <v>331</v>
      </c>
    </row>
    <row r="423" spans="1:10" ht="16.5" customHeight="1" thickBot="1">
      <c r="A423" s="188" t="s">
        <v>90</v>
      </c>
      <c r="B423" s="188" t="s">
        <v>162</v>
      </c>
      <c r="C423" s="159">
        <v>150</v>
      </c>
      <c r="D423" s="118">
        <v>2.92</v>
      </c>
      <c r="E423" s="119">
        <v>30</v>
      </c>
      <c r="F423" s="155">
        <f t="shared" si="12"/>
        <v>3.796</v>
      </c>
      <c r="G423" s="117">
        <v>8.4</v>
      </c>
      <c r="H423" s="117">
        <v>10.8</v>
      </c>
      <c r="I423" s="117">
        <v>41.25</v>
      </c>
      <c r="J423" s="117">
        <v>280.5</v>
      </c>
    </row>
    <row r="424" spans="1:10" ht="16.5" customHeight="1" thickBot="1">
      <c r="A424" s="116"/>
      <c r="B424" s="116" t="s">
        <v>62</v>
      </c>
      <c r="C424" s="158" t="s">
        <v>40</v>
      </c>
      <c r="D424" s="118">
        <v>1.54</v>
      </c>
      <c r="E424" s="119">
        <v>30</v>
      </c>
      <c r="F424" s="155">
        <f t="shared" si="12"/>
        <v>2.002</v>
      </c>
      <c r="G424" s="118">
        <v>2.67</v>
      </c>
      <c r="H424" s="118">
        <v>0.6</v>
      </c>
      <c r="I424" s="118">
        <v>16.8</v>
      </c>
      <c r="J424" s="118">
        <v>85.6</v>
      </c>
    </row>
    <row r="425" spans="1:13" ht="16.5" customHeight="1">
      <c r="A425" s="116" t="s">
        <v>163</v>
      </c>
      <c r="B425" s="116" t="s">
        <v>164</v>
      </c>
      <c r="C425" s="159">
        <v>200</v>
      </c>
      <c r="D425" s="118">
        <v>2.47</v>
      </c>
      <c r="E425" s="119">
        <v>30</v>
      </c>
      <c r="F425" s="155">
        <f t="shared" si="12"/>
        <v>3.2110000000000003</v>
      </c>
      <c r="G425" s="118">
        <v>0.1</v>
      </c>
      <c r="H425" s="118">
        <v>0</v>
      </c>
      <c r="I425" s="118">
        <v>26.4</v>
      </c>
      <c r="J425" s="118">
        <v>102</v>
      </c>
      <c r="K425" s="219"/>
      <c r="L425" s="220"/>
      <c r="M425" s="219"/>
    </row>
    <row r="426" spans="1:11" ht="16.5" thickBot="1">
      <c r="A426" s="238"/>
      <c r="B426" s="132" t="s">
        <v>226</v>
      </c>
      <c r="C426" s="239"/>
      <c r="D426" s="127">
        <f>SUM(D420:D425)</f>
        <v>50.93</v>
      </c>
      <c r="E426" s="165">
        <v>30</v>
      </c>
      <c r="F426" s="127">
        <f>SUM(F420:F425)</f>
        <v>66.209</v>
      </c>
      <c r="G426" s="127">
        <f>SUM(G420:G425)</f>
        <v>40.74</v>
      </c>
      <c r="H426" s="127">
        <f>SUM(H420:H425)</f>
        <v>56.63</v>
      </c>
      <c r="I426" s="127">
        <f>SUM(I420:I425)</f>
        <v>110</v>
      </c>
      <c r="J426" s="127">
        <f>SUM(J420:J425)</f>
        <v>1094.5500000000002</v>
      </c>
      <c r="K426" s="54">
        <f>J426*100/2350</f>
        <v>46.57659574468086</v>
      </c>
    </row>
    <row r="427" spans="1:11" ht="18" thickBot="1">
      <c r="A427" s="26"/>
      <c r="B427" s="26" t="s">
        <v>232</v>
      </c>
      <c r="C427" s="27"/>
      <c r="D427" s="240">
        <f>D426+D418</f>
        <v>86.44</v>
      </c>
      <c r="E427" s="241"/>
      <c r="F427" s="240">
        <f>F426+F418</f>
        <v>112.372</v>
      </c>
      <c r="G427" s="235">
        <f>G418+G426</f>
        <v>70.0378</v>
      </c>
      <c r="H427" s="235">
        <f>H418+H426</f>
        <v>87.27120000000001</v>
      </c>
      <c r="I427" s="235">
        <f>I418+I426</f>
        <v>196.3324</v>
      </c>
      <c r="J427" s="235">
        <f>J418+J426</f>
        <v>1688.2216000000003</v>
      </c>
      <c r="K427" s="54">
        <f>K426+K418</f>
        <v>46.57659574468086</v>
      </c>
    </row>
    <row r="428" spans="1:10" ht="16.5" customHeight="1" hidden="1" thickBot="1">
      <c r="A428" s="26"/>
      <c r="B428" s="85" t="s">
        <v>180</v>
      </c>
      <c r="C428" s="86"/>
      <c r="D428" s="91">
        <f>D427+D386+D344+D303+D264+D188+D146+D107+D70+D36</f>
        <v>785.43</v>
      </c>
      <c r="E428" s="91"/>
      <c r="F428" s="91">
        <f>F427+F386+F344+F303+F264+F188+F146+F107+F70+F36</f>
        <v>1021.0600000000002</v>
      </c>
      <c r="G428" s="98">
        <f>G427+G386+G344+G303+G264+G188+G146+G107+G70+G36</f>
        <v>513.1058494</v>
      </c>
      <c r="H428" s="98">
        <f>H427+H386+H344+H303+H264+H188+H146+H107+H70+H36</f>
        <v>567.0785992</v>
      </c>
      <c r="I428" s="98">
        <f>I427+I386+I344+I303+I264+I188+I146+I107+I70+I36</f>
        <v>1981.3988689500004</v>
      </c>
      <c r="J428" s="98">
        <f>J427+J386+J344+J303+J264+J188+J146+J107+J70+J36</f>
        <v>14951.184266199998</v>
      </c>
    </row>
    <row r="429" spans="1:11" ht="16.5" customHeight="1" hidden="1" thickBot="1">
      <c r="A429" s="26"/>
      <c r="B429" s="85" t="s">
        <v>195</v>
      </c>
      <c r="C429" s="86"/>
      <c r="D429" s="91">
        <f>D428/10</f>
        <v>78.54299999999999</v>
      </c>
      <c r="E429" s="91"/>
      <c r="F429" s="91">
        <f aca="true" t="shared" si="13" ref="F429:K429">F428/10</f>
        <v>102.10600000000002</v>
      </c>
      <c r="G429" s="98">
        <f t="shared" si="13"/>
        <v>51.31058494</v>
      </c>
      <c r="H429" s="98">
        <f t="shared" si="13"/>
        <v>56.70785992</v>
      </c>
      <c r="I429" s="98">
        <f t="shared" si="13"/>
        <v>198.13988689500005</v>
      </c>
      <c r="J429" s="98">
        <f t="shared" si="13"/>
        <v>1495.1184266199998</v>
      </c>
      <c r="K429" s="91">
        <f t="shared" si="13"/>
        <v>0</v>
      </c>
    </row>
    <row r="430" spans="2:10" ht="16.5" customHeight="1">
      <c r="B430" s="82"/>
      <c r="C430" s="83"/>
      <c r="D430" s="57"/>
      <c r="E430" s="57"/>
      <c r="F430" s="57"/>
      <c r="G430" s="57"/>
      <c r="H430" s="57"/>
      <c r="I430" s="39"/>
      <c r="J430" s="218"/>
    </row>
    <row r="431" spans="2:10" ht="16.5" customHeight="1">
      <c r="B431" s="487"/>
      <c r="C431" s="487"/>
      <c r="D431" s="39"/>
      <c r="E431" s="39"/>
      <c r="F431" s="39"/>
      <c r="G431" s="39"/>
      <c r="H431" s="39"/>
      <c r="I431" s="39"/>
      <c r="J431" s="39"/>
    </row>
    <row r="434" spans="5:6" ht="16.5" customHeight="1">
      <c r="E434" s="6"/>
      <c r="F434" s="6"/>
    </row>
    <row r="435" spans="2:10" ht="16.5" customHeight="1">
      <c r="B435" s="487"/>
      <c r="C435" s="487"/>
      <c r="G435" s="17"/>
      <c r="H435" s="17"/>
      <c r="I435" s="488"/>
      <c r="J435" s="488"/>
    </row>
    <row r="436" spans="2:12" ht="16.5" customHeight="1">
      <c r="B436" s="94"/>
      <c r="C436" s="94"/>
      <c r="D436" s="7"/>
      <c r="E436" s="8"/>
      <c r="F436" s="9"/>
      <c r="G436" s="7"/>
      <c r="H436" s="7"/>
      <c r="I436" s="7"/>
      <c r="J436" s="13"/>
      <c r="L436" s="6"/>
    </row>
    <row r="437" spans="2:12" ht="16.5" customHeight="1">
      <c r="B437" s="10"/>
      <c r="C437" s="7"/>
      <c r="D437" s="7"/>
      <c r="E437" s="8"/>
      <c r="F437" s="9"/>
      <c r="G437" s="7"/>
      <c r="H437" s="7"/>
      <c r="I437" s="7"/>
      <c r="J437" s="13"/>
      <c r="L437" s="6"/>
    </row>
    <row r="438" spans="5:6" ht="16.5" customHeight="1">
      <c r="E438" s="6"/>
      <c r="F438" s="6"/>
    </row>
    <row r="439" spans="2:10" ht="16.5" customHeight="1">
      <c r="B439" s="16" t="s">
        <v>165</v>
      </c>
      <c r="C439" s="41"/>
      <c r="D439" s="40"/>
      <c r="E439" s="42"/>
      <c r="F439" s="40"/>
      <c r="G439" s="38"/>
      <c r="H439" s="38"/>
      <c r="I439" s="38"/>
      <c r="J439" s="40"/>
    </row>
    <row r="440" spans="2:10" ht="16.5" customHeight="1">
      <c r="B440" s="16" t="s">
        <v>166</v>
      </c>
      <c r="C440" s="41"/>
      <c r="D440" s="40"/>
      <c r="E440" s="42"/>
      <c r="F440" s="40"/>
      <c r="G440" s="38"/>
      <c r="H440" s="38"/>
      <c r="I440" s="38"/>
      <c r="J440" s="40"/>
    </row>
    <row r="441" spans="2:10" ht="16.5" customHeight="1">
      <c r="B441" s="16" t="s">
        <v>314</v>
      </c>
      <c r="D441" s="17"/>
      <c r="G441" s="17"/>
      <c r="H441" s="17"/>
      <c r="I441" s="17"/>
      <c r="J441" s="17"/>
    </row>
    <row r="442" spans="2:10" ht="16.5" customHeight="1">
      <c r="B442" s="19" t="s">
        <v>348</v>
      </c>
      <c r="D442" s="17"/>
      <c r="G442" s="17"/>
      <c r="H442" s="17"/>
      <c r="I442" s="17"/>
      <c r="J442" s="17"/>
    </row>
    <row r="444" spans="2:10" ht="16.5" customHeight="1">
      <c r="B444" s="19"/>
      <c r="D444" s="17"/>
      <c r="G444" s="17"/>
      <c r="H444" s="17"/>
      <c r="I444" s="17"/>
      <c r="J444" s="17"/>
    </row>
    <row r="445" spans="2:10" ht="16.5" customHeight="1" thickBot="1">
      <c r="B445" s="19"/>
      <c r="D445" s="17"/>
      <c r="G445" s="17"/>
      <c r="H445" s="17"/>
      <c r="I445" s="17"/>
      <c r="J445" s="17"/>
    </row>
    <row r="446" spans="1:10" ht="16.5" customHeight="1" thickBot="1">
      <c r="A446" s="489"/>
      <c r="B446" s="508" t="s">
        <v>11</v>
      </c>
      <c r="C446" s="236" t="s">
        <v>12</v>
      </c>
      <c r="D446" s="479" t="s">
        <v>13</v>
      </c>
      <c r="E446" s="511" t="s">
        <v>14</v>
      </c>
      <c r="F446" s="494" t="s">
        <v>200</v>
      </c>
      <c r="G446" s="492" t="s">
        <v>15</v>
      </c>
      <c r="H446" s="492"/>
      <c r="I446" s="493"/>
      <c r="J446" s="22" t="s">
        <v>16</v>
      </c>
    </row>
    <row r="447" spans="1:10" ht="16.5" customHeight="1" thickBot="1">
      <c r="A447" s="490"/>
      <c r="B447" s="509"/>
      <c r="C447" s="237" t="s">
        <v>17</v>
      </c>
      <c r="D447" s="510"/>
      <c r="E447" s="512"/>
      <c r="F447" s="495"/>
      <c r="G447" s="24" t="s">
        <v>18</v>
      </c>
      <c r="H447" s="24" t="s">
        <v>19</v>
      </c>
      <c r="I447" s="24" t="s">
        <v>20</v>
      </c>
      <c r="J447" s="24" t="s">
        <v>21</v>
      </c>
    </row>
    <row r="448" spans="1:10" ht="16.5" customHeight="1" thickBot="1">
      <c r="A448" s="135"/>
      <c r="B448" s="136" t="s">
        <v>108</v>
      </c>
      <c r="C448" s="283"/>
      <c r="D448" s="138"/>
      <c r="E448" s="139"/>
      <c r="F448" s="265"/>
      <c r="G448" s="138"/>
      <c r="H448" s="138"/>
      <c r="I448" s="138"/>
      <c r="J448" s="140"/>
    </row>
    <row r="449" spans="1:10" ht="16.5" customHeight="1">
      <c r="A449" s="153" t="s">
        <v>304</v>
      </c>
      <c r="B449" s="272" t="s">
        <v>76</v>
      </c>
      <c r="C449" s="154">
        <v>25</v>
      </c>
      <c r="D449" s="282">
        <v>3.13</v>
      </c>
      <c r="E449" s="242">
        <v>30</v>
      </c>
      <c r="F449" s="118">
        <f>D449*30%+D449</f>
        <v>4.069</v>
      </c>
      <c r="G449" s="246">
        <v>0.92</v>
      </c>
      <c r="H449" s="168">
        <v>0.29</v>
      </c>
      <c r="I449" s="168">
        <v>5.17</v>
      </c>
      <c r="J449" s="168">
        <v>26.9</v>
      </c>
    </row>
    <row r="450" spans="1:10" ht="16.5" customHeight="1">
      <c r="A450" s="116" t="s">
        <v>167</v>
      </c>
      <c r="B450" s="273" t="s">
        <v>168</v>
      </c>
      <c r="C450" s="117" t="s">
        <v>169</v>
      </c>
      <c r="D450" s="248">
        <v>16.31</v>
      </c>
      <c r="E450" s="243">
        <v>30</v>
      </c>
      <c r="F450" s="118">
        <f aca="true" t="shared" si="14" ref="F450:F464">D450*30%+D450</f>
        <v>21.203</v>
      </c>
      <c r="G450" s="247">
        <v>11.04</v>
      </c>
      <c r="H450" s="117">
        <v>16.23</v>
      </c>
      <c r="I450" s="117">
        <v>13.52</v>
      </c>
      <c r="J450" s="118">
        <v>244.33</v>
      </c>
    </row>
    <row r="451" spans="1:12" ht="16.5" customHeight="1">
      <c r="A451" s="188" t="s">
        <v>60</v>
      </c>
      <c r="B451" s="274" t="s">
        <v>170</v>
      </c>
      <c r="C451" s="159">
        <v>150</v>
      </c>
      <c r="D451" s="248">
        <v>2.76</v>
      </c>
      <c r="E451" s="243">
        <v>30</v>
      </c>
      <c r="F451" s="118">
        <f t="shared" si="14"/>
        <v>3.5879999999999996</v>
      </c>
      <c r="G451" s="248">
        <v>3.75</v>
      </c>
      <c r="H451" s="118">
        <v>6.15</v>
      </c>
      <c r="I451" s="118">
        <v>38.55</v>
      </c>
      <c r="J451" s="118">
        <v>228</v>
      </c>
      <c r="L451" s="6"/>
    </row>
    <row r="452" spans="1:12" ht="16.5" customHeight="1">
      <c r="A452" s="116"/>
      <c r="B452" s="273" t="s">
        <v>53</v>
      </c>
      <c r="C452" s="119">
        <v>30</v>
      </c>
      <c r="D452" s="248">
        <v>0.93</v>
      </c>
      <c r="E452" s="243">
        <v>30</v>
      </c>
      <c r="F452" s="118">
        <f t="shared" si="14"/>
        <v>1.209</v>
      </c>
      <c r="G452" s="248">
        <v>2.2278000000000002</v>
      </c>
      <c r="H452" s="118">
        <v>0.2112</v>
      </c>
      <c r="I452" s="118">
        <v>13.3224</v>
      </c>
      <c r="J452" s="118">
        <v>64.1016</v>
      </c>
      <c r="L452" s="6"/>
    </row>
    <row r="453" spans="1:12" ht="16.5" customHeight="1">
      <c r="A453" s="116" t="s">
        <v>345</v>
      </c>
      <c r="B453" s="273" t="s">
        <v>32</v>
      </c>
      <c r="C453" s="159">
        <v>200</v>
      </c>
      <c r="D453" s="249">
        <v>7.06</v>
      </c>
      <c r="E453" s="243">
        <v>30</v>
      </c>
      <c r="F453" s="118">
        <f t="shared" si="14"/>
        <v>9.177999999999999</v>
      </c>
      <c r="G453" s="249">
        <v>4.9</v>
      </c>
      <c r="H453" s="111">
        <v>5</v>
      </c>
      <c r="I453" s="111">
        <v>32.5</v>
      </c>
      <c r="J453" s="111">
        <v>190</v>
      </c>
      <c r="L453" s="6"/>
    </row>
    <row r="454" spans="1:12" ht="16.5" customHeight="1" thickBot="1">
      <c r="A454" s="251"/>
      <c r="B454" s="275" t="s">
        <v>226</v>
      </c>
      <c r="C454" s="251"/>
      <c r="D454" s="253">
        <f>SUM(D449:D453)</f>
        <v>30.189999999999994</v>
      </c>
      <c r="E454" s="252"/>
      <c r="F454" s="266">
        <f t="shared" si="14"/>
        <v>39.24699999999999</v>
      </c>
      <c r="G454" s="253">
        <f>SUM(G449:G453)</f>
        <v>22.8378</v>
      </c>
      <c r="H454" s="133">
        <f>SUM(H449:H453)</f>
        <v>27.881200000000003</v>
      </c>
      <c r="I454" s="133">
        <f>SUM(I449:I453)</f>
        <v>103.0624</v>
      </c>
      <c r="J454" s="133">
        <f>SUM(J449:J453)</f>
        <v>753.3316</v>
      </c>
      <c r="L454" s="6"/>
    </row>
    <row r="455" spans="1:12" ht="16.5" customHeight="1" thickBot="1">
      <c r="A455" s="85"/>
      <c r="B455" s="85" t="s">
        <v>227</v>
      </c>
      <c r="C455" s="86" t="s">
        <v>287</v>
      </c>
      <c r="D455" s="254">
        <f>D454+D418+D377+D335+D293+D256+D217+D179+D138+D97+D60+D28</f>
        <v>408.28999999999996</v>
      </c>
      <c r="E455" s="255">
        <f>E454+E418+E377+E335+E293+E256+E217+E179+E138+E97+E60+E28</f>
        <v>0</v>
      </c>
      <c r="F455" s="267">
        <f>F454+F418+F377+F335+F293+F256+F217+F179+F138+F97+F60+F28</f>
        <v>530.774</v>
      </c>
      <c r="G455" s="254">
        <f>G454+G417+G376+G333+G292+G255+G216+G175+G135+G94+G57+G23</f>
        <v>61.95572</v>
      </c>
      <c r="H455" s="254">
        <f>H454+H417+H376+H333+H292+H255+H216+H175+H135+H94+H57+H23</f>
        <v>69.2612</v>
      </c>
      <c r="I455" s="254">
        <f>I454+I417+I376+I333+I292+I255+I216+I175+I135+I94+I57+I23</f>
        <v>279.65376000000003</v>
      </c>
      <c r="J455" s="256">
        <f>J454+J417+J376+J333+J292+J255+J216+J175+J135+J94+J57+J23</f>
        <v>1955.2087199999999</v>
      </c>
      <c r="L455" s="6"/>
    </row>
    <row r="456" spans="1:12" ht="16.5" customHeight="1" thickBot="1">
      <c r="A456" s="89"/>
      <c r="B456" s="89" t="s">
        <v>228</v>
      </c>
      <c r="C456" s="90"/>
      <c r="D456" s="250">
        <f aca="true" t="shared" si="15" ref="D456:J456">D455/12</f>
        <v>34.024166666666666</v>
      </c>
      <c r="E456" s="245">
        <f t="shared" si="15"/>
        <v>0</v>
      </c>
      <c r="F456" s="91">
        <f t="shared" si="15"/>
        <v>44.23116666666667</v>
      </c>
      <c r="G456" s="250">
        <f t="shared" si="15"/>
        <v>5.162976666666666</v>
      </c>
      <c r="H456" s="91">
        <f t="shared" si="15"/>
        <v>5.771766666666667</v>
      </c>
      <c r="I456" s="91">
        <f t="shared" si="15"/>
        <v>23.30448</v>
      </c>
      <c r="J456" s="91">
        <f t="shared" si="15"/>
        <v>162.93406</v>
      </c>
      <c r="L456" s="6"/>
    </row>
    <row r="457" spans="1:12" ht="16.5" customHeight="1" thickBot="1">
      <c r="A457" s="257"/>
      <c r="B457" s="276" t="s">
        <v>127</v>
      </c>
      <c r="C457" s="284"/>
      <c r="D457" s="258"/>
      <c r="E457" s="260"/>
      <c r="F457" s="270"/>
      <c r="G457" s="258"/>
      <c r="H457" s="258"/>
      <c r="I457" s="258"/>
      <c r="J457" s="259"/>
      <c r="L457" s="6"/>
    </row>
    <row r="458" spans="1:12" ht="16.5" customHeight="1">
      <c r="A458" s="191" t="s">
        <v>338</v>
      </c>
      <c r="B458" s="277" t="s">
        <v>303</v>
      </c>
      <c r="C458" s="171">
        <v>100</v>
      </c>
      <c r="D458" s="246">
        <v>3.25</v>
      </c>
      <c r="E458" s="261">
        <v>30</v>
      </c>
      <c r="F458" s="118">
        <f t="shared" si="14"/>
        <v>4.225</v>
      </c>
      <c r="G458" s="246">
        <v>2.4</v>
      </c>
      <c r="H458" s="168">
        <v>7.6</v>
      </c>
      <c r="I458" s="168">
        <v>13</v>
      </c>
      <c r="J458" s="168">
        <v>132</v>
      </c>
      <c r="L458" s="6"/>
    </row>
    <row r="459" spans="1:12" ht="16.5" customHeight="1">
      <c r="A459" s="104" t="s">
        <v>174</v>
      </c>
      <c r="B459" s="278" t="s">
        <v>224</v>
      </c>
      <c r="C459" s="105" t="s">
        <v>146</v>
      </c>
      <c r="D459" s="263">
        <v>8.78</v>
      </c>
      <c r="E459" s="262">
        <v>30</v>
      </c>
      <c r="F459" s="118">
        <f t="shared" si="14"/>
        <v>11.414</v>
      </c>
      <c r="G459" s="263">
        <v>2.6</v>
      </c>
      <c r="H459" s="106">
        <v>5.3</v>
      </c>
      <c r="I459" s="106">
        <v>14.3</v>
      </c>
      <c r="J459" s="106">
        <v>136</v>
      </c>
      <c r="L459" s="6"/>
    </row>
    <row r="460" spans="1:12" ht="16.5" customHeight="1">
      <c r="A460" s="104" t="s">
        <v>175</v>
      </c>
      <c r="B460" s="278" t="s">
        <v>176</v>
      </c>
      <c r="C460" s="105" t="s">
        <v>26</v>
      </c>
      <c r="D460" s="263">
        <v>21.9</v>
      </c>
      <c r="E460" s="262">
        <v>30</v>
      </c>
      <c r="F460" s="118">
        <f t="shared" si="14"/>
        <v>28.47</v>
      </c>
      <c r="G460" s="263">
        <v>11.77</v>
      </c>
      <c r="H460" s="106">
        <v>12.87</v>
      </c>
      <c r="I460" s="106">
        <v>6.51</v>
      </c>
      <c r="J460" s="106">
        <v>291</v>
      </c>
      <c r="L460" s="6"/>
    </row>
    <row r="461" spans="1:12" ht="16.5" customHeight="1">
      <c r="A461" s="109" t="s">
        <v>339</v>
      </c>
      <c r="B461" s="279" t="s">
        <v>299</v>
      </c>
      <c r="C461" s="105" t="s">
        <v>225</v>
      </c>
      <c r="D461" s="263">
        <v>5.61</v>
      </c>
      <c r="E461" s="262">
        <v>30</v>
      </c>
      <c r="F461" s="118">
        <f t="shared" si="14"/>
        <v>7.293</v>
      </c>
      <c r="G461" s="263">
        <v>16.25</v>
      </c>
      <c r="H461" s="106">
        <v>4.41</v>
      </c>
      <c r="I461" s="106">
        <v>34.73</v>
      </c>
      <c r="J461" s="106">
        <v>243.61</v>
      </c>
      <c r="L461" s="6"/>
    </row>
    <row r="462" spans="1:12" ht="16.5" customHeight="1">
      <c r="A462" s="109"/>
      <c r="B462" s="279" t="s">
        <v>62</v>
      </c>
      <c r="C462" s="158" t="s">
        <v>40</v>
      </c>
      <c r="D462" s="248">
        <v>1.54</v>
      </c>
      <c r="E462" s="262">
        <v>30</v>
      </c>
      <c r="F462" s="118">
        <f t="shared" si="14"/>
        <v>2.002</v>
      </c>
      <c r="G462" s="248">
        <v>2.67</v>
      </c>
      <c r="H462" s="118">
        <v>0.6</v>
      </c>
      <c r="I462" s="118">
        <v>16.8</v>
      </c>
      <c r="J462" s="118">
        <v>85.6</v>
      </c>
      <c r="L462" s="6"/>
    </row>
    <row r="463" spans="1:12" ht="16.5" customHeight="1">
      <c r="A463" s="109" t="s">
        <v>93</v>
      </c>
      <c r="B463" s="279" t="s">
        <v>94</v>
      </c>
      <c r="C463" s="112">
        <v>200</v>
      </c>
      <c r="D463" s="263">
        <v>4.5</v>
      </c>
      <c r="E463" s="262">
        <v>30</v>
      </c>
      <c r="F463" s="118">
        <f t="shared" si="14"/>
        <v>5.85</v>
      </c>
      <c r="G463" s="249">
        <v>0.33</v>
      </c>
      <c r="H463" s="111">
        <v>0</v>
      </c>
      <c r="I463" s="111">
        <v>22.66</v>
      </c>
      <c r="J463" s="111">
        <v>91.98</v>
      </c>
      <c r="L463" s="6"/>
    </row>
    <row r="464" spans="1:12" ht="16.5" customHeight="1" thickBot="1">
      <c r="A464" s="176"/>
      <c r="B464" s="280" t="s">
        <v>226</v>
      </c>
      <c r="C464" s="177"/>
      <c r="D464" s="264">
        <f>SUM(D458:D463)</f>
        <v>45.58</v>
      </c>
      <c r="E464" s="262">
        <v>30</v>
      </c>
      <c r="F464" s="271">
        <f t="shared" si="14"/>
        <v>59.254</v>
      </c>
      <c r="G464" s="264">
        <f>SUM(G458:G463)</f>
        <v>36.019999999999996</v>
      </c>
      <c r="H464" s="125">
        <f>SUM(H458:H463)</f>
        <v>30.779999999999998</v>
      </c>
      <c r="I464" s="125">
        <f>SUM(I458:I463)</f>
        <v>107.99999999999999</v>
      </c>
      <c r="J464" s="125">
        <f>SUM(J458:J463)</f>
        <v>980.19</v>
      </c>
      <c r="L464" s="6"/>
    </row>
    <row r="465" spans="1:12" ht="16.5" customHeight="1" thickBot="1">
      <c r="A465" s="93"/>
      <c r="B465" s="281" t="s">
        <v>229</v>
      </c>
      <c r="C465" s="285"/>
      <c r="D465" s="33">
        <f>D464+D454</f>
        <v>75.77</v>
      </c>
      <c r="E465" s="262"/>
      <c r="F465" s="268">
        <f>F464+F454</f>
        <v>98.50099999999999</v>
      </c>
      <c r="G465" s="24">
        <f>G454+G464</f>
        <v>58.8578</v>
      </c>
      <c r="H465" s="24">
        <f>H454+H464</f>
        <v>58.6612</v>
      </c>
      <c r="I465" s="24">
        <f>I454+I464</f>
        <v>211.06239999999997</v>
      </c>
      <c r="J465" s="24">
        <f>J454+J464</f>
        <v>1733.5216</v>
      </c>
      <c r="L465" s="6"/>
    </row>
    <row r="466" spans="1:12" ht="16.5" customHeight="1" thickBot="1">
      <c r="A466" s="85"/>
      <c r="B466" s="85" t="s">
        <v>230</v>
      </c>
      <c r="C466" s="86"/>
      <c r="D466" s="87">
        <f>D464+D426+D385+D343+D302+D263+D226+D187+D145+D106+D69+D35</f>
        <v>531.77</v>
      </c>
      <c r="E466" s="244">
        <f>E464+E426+E385+E343+E302+E263+E226+E187+E145+E106+E69+E35</f>
        <v>60</v>
      </c>
      <c r="F466" s="269">
        <f>F464+F426+F385+F343+F302+F263+F226+F187+F145+F106+F69+F35</f>
        <v>691.3050000000001</v>
      </c>
      <c r="G466" s="87">
        <f>G464+G423+G384+G342+G301+G262+G225+G184+G142+G103+G66+G30</f>
        <v>79.69449999999999</v>
      </c>
      <c r="H466" s="87">
        <f>H464+H423+H384+H342+H301+H262+H225+H184+H142+H103+H66+H30</f>
        <v>68.37799999999999</v>
      </c>
      <c r="I466" s="87">
        <f>I464+I423+I384+I342+I301+I262+I225+I184+I142+I103+I66+I30</f>
        <v>374.543</v>
      </c>
      <c r="J466" s="88">
        <f>J464+J423+J384+J342+J301+J262+J225+J184+J142+J103+J66+J30</f>
        <v>2816.2200000000007</v>
      </c>
      <c r="L466" s="6"/>
    </row>
    <row r="467" spans="1:12" ht="16.5" customHeight="1" thickBot="1">
      <c r="A467" s="85"/>
      <c r="B467" s="85" t="s">
        <v>231</v>
      </c>
      <c r="C467" s="86"/>
      <c r="D467" s="250">
        <f>D466/12</f>
        <v>44.314166666666665</v>
      </c>
      <c r="E467" s="245"/>
      <c r="F467" s="91">
        <f>F466/12</f>
        <v>57.60875000000001</v>
      </c>
      <c r="G467" s="250">
        <f>G466/12</f>
        <v>6.641208333333332</v>
      </c>
      <c r="H467" s="91">
        <f>H466/12</f>
        <v>5.6981666666666655</v>
      </c>
      <c r="I467" s="91">
        <f>I466/12</f>
        <v>31.211916666666667</v>
      </c>
      <c r="J467" s="91">
        <f>J466/12</f>
        <v>234.68500000000006</v>
      </c>
      <c r="L467" s="6"/>
    </row>
    <row r="468" spans="1:12" ht="16.5" customHeight="1" thickBot="1">
      <c r="A468" s="228"/>
      <c r="B468" s="226" t="s">
        <v>333</v>
      </c>
      <c r="C468" s="286"/>
      <c r="D468" s="229"/>
      <c r="E468" s="230"/>
      <c r="F468" s="287">
        <f>F465+F427+F386+F344+F303+F264+F227+F188+F146+F107+F70+F36</f>
        <v>1222.0790000000002</v>
      </c>
      <c r="G468" s="288">
        <f>G465+G427+G386+G344+G303+G264+G227+G188+G146+G107+G70+G36</f>
        <v>624.7274493999998</v>
      </c>
      <c r="H468" s="287">
        <f>H465+H427+H386+H344+H303+H264+H227+H188+H146+H107+H70+H36</f>
        <v>685.4733192</v>
      </c>
      <c r="I468" s="289">
        <f>I465+I427+I386+I344+I303+I264+I227+I188+I146+I107+I70+I36</f>
        <v>2437.76012795</v>
      </c>
      <c r="J468" s="287">
        <f>J465+J427+J386+J344+J303+J264+J227+J188+J146+J107+J70+J36</f>
        <v>18337.5581822</v>
      </c>
      <c r="L468" s="6"/>
    </row>
    <row r="469" spans="1:12" ht="16.5" customHeight="1" thickBot="1">
      <c r="A469" s="231" t="s">
        <v>334</v>
      </c>
      <c r="B469" s="232" t="s">
        <v>342</v>
      </c>
      <c r="C469" s="98"/>
      <c r="D469" s="234"/>
      <c r="E469" s="233"/>
      <c r="F469" s="98">
        <f>F468/12</f>
        <v>101.83991666666668</v>
      </c>
      <c r="G469" s="235">
        <f>G468/12</f>
        <v>52.06062078333332</v>
      </c>
      <c r="H469" s="98">
        <f>H468/12</f>
        <v>57.1227766</v>
      </c>
      <c r="I469" s="233">
        <f>I468/12</f>
        <v>203.14667732916666</v>
      </c>
      <c r="J469" s="98">
        <f>J468/12</f>
        <v>1528.1298485166665</v>
      </c>
      <c r="L469" s="6"/>
    </row>
    <row r="470" spans="3:12" ht="16.5" customHeight="1">
      <c r="C470" s="95"/>
      <c r="D470" s="95"/>
      <c r="G470" s="95"/>
      <c r="H470" s="95"/>
      <c r="I470" s="95"/>
      <c r="J470" s="95"/>
      <c r="L470" s="6"/>
    </row>
    <row r="471" spans="3:12" ht="16.5" customHeight="1">
      <c r="C471" s="95"/>
      <c r="D471" s="95"/>
      <c r="G471" s="95"/>
      <c r="H471" s="95"/>
      <c r="I471" s="95"/>
      <c r="J471" s="95"/>
      <c r="L471" s="6"/>
    </row>
    <row r="472" spans="2:12" ht="16.5" customHeight="1">
      <c r="B472" s="4" t="s">
        <v>341</v>
      </c>
      <c r="C472" s="227"/>
      <c r="D472" s="227"/>
      <c r="E472" s="59"/>
      <c r="F472" s="60" t="s">
        <v>335</v>
      </c>
      <c r="G472" s="95"/>
      <c r="H472" s="95"/>
      <c r="I472" s="95"/>
      <c r="J472" s="95"/>
      <c r="L472" s="6"/>
    </row>
    <row r="473" spans="2:12" ht="16.5" customHeight="1">
      <c r="B473" s="4"/>
      <c r="C473" s="227"/>
      <c r="D473" s="227"/>
      <c r="E473" s="59"/>
      <c r="F473" s="60"/>
      <c r="G473" s="95"/>
      <c r="H473" s="95"/>
      <c r="I473" s="95"/>
      <c r="J473" s="95"/>
      <c r="L473" s="6"/>
    </row>
    <row r="474" spans="2:12" ht="16.5" customHeight="1">
      <c r="B474" s="4" t="s">
        <v>336</v>
      </c>
      <c r="C474" s="95"/>
      <c r="D474" s="95"/>
      <c r="F474" s="60" t="s">
        <v>337</v>
      </c>
      <c r="G474" s="95"/>
      <c r="H474" s="95"/>
      <c r="I474" s="95"/>
      <c r="J474" s="95"/>
      <c r="L474" s="6"/>
    </row>
    <row r="475" spans="3:12" ht="16.5" customHeight="1">
      <c r="C475" s="95"/>
      <c r="D475" s="95"/>
      <c r="G475" s="95"/>
      <c r="H475" s="95"/>
      <c r="I475" s="95"/>
      <c r="J475" s="95"/>
      <c r="L475" s="6"/>
    </row>
    <row r="476" spans="3:12" ht="16.5" customHeight="1">
      <c r="C476" s="95"/>
      <c r="D476" s="95"/>
      <c r="G476" s="95"/>
      <c r="H476" s="95"/>
      <c r="I476" s="95"/>
      <c r="J476" s="95"/>
      <c r="L476" s="6"/>
    </row>
    <row r="477" spans="3:12" ht="16.5" customHeight="1">
      <c r="C477" s="95"/>
      <c r="D477" s="95"/>
      <c r="G477" s="95"/>
      <c r="H477" s="95"/>
      <c r="I477" s="95"/>
      <c r="J477" s="95"/>
      <c r="L477" s="6"/>
    </row>
    <row r="478" spans="3:12" ht="16.5" customHeight="1">
      <c r="C478" s="95"/>
      <c r="D478" s="95"/>
      <c r="G478" s="95"/>
      <c r="H478" s="95"/>
      <c r="I478" s="95"/>
      <c r="J478" s="95"/>
      <c r="L478" s="6"/>
    </row>
    <row r="479" spans="3:12" ht="16.5" customHeight="1">
      <c r="C479" s="95"/>
      <c r="D479" s="95"/>
      <c r="G479" s="95"/>
      <c r="H479" s="95"/>
      <c r="I479" s="95"/>
      <c r="J479" s="95"/>
      <c r="L479" s="6"/>
    </row>
    <row r="480" spans="3:12" ht="16.5" customHeight="1">
      <c r="C480" s="95"/>
      <c r="D480" s="95"/>
      <c r="G480" s="95"/>
      <c r="H480" s="95"/>
      <c r="I480" s="95"/>
      <c r="J480" s="95"/>
      <c r="L480" s="6"/>
    </row>
    <row r="481" spans="3:12" ht="16.5" customHeight="1">
      <c r="C481" s="95"/>
      <c r="D481" s="95"/>
      <c r="G481" s="95"/>
      <c r="H481" s="95"/>
      <c r="I481" s="95"/>
      <c r="J481" s="95"/>
      <c r="L481" s="6"/>
    </row>
    <row r="482" spans="3:12" ht="16.5" customHeight="1">
      <c r="C482" s="95"/>
      <c r="D482" s="95"/>
      <c r="G482" s="95"/>
      <c r="H482" s="95"/>
      <c r="I482" s="95"/>
      <c r="J482" s="95"/>
      <c r="L482" s="6"/>
    </row>
    <row r="483" spans="3:12" ht="16.5" customHeight="1">
      <c r="C483" s="95"/>
      <c r="D483" s="95"/>
      <c r="G483" s="95"/>
      <c r="H483" s="95"/>
      <c r="I483" s="95"/>
      <c r="J483" s="95"/>
      <c r="L483" s="6"/>
    </row>
    <row r="484" spans="3:10" ht="16.5" customHeight="1">
      <c r="C484" s="95"/>
      <c r="D484" s="95"/>
      <c r="G484" s="95"/>
      <c r="H484" s="95"/>
      <c r="I484" s="95"/>
      <c r="J484" s="95"/>
    </row>
    <row r="485" spans="3:10" ht="16.5" customHeight="1">
      <c r="C485" s="95"/>
      <c r="D485" s="95"/>
      <c r="G485" s="95"/>
      <c r="H485" s="95"/>
      <c r="I485" s="95"/>
      <c r="J485" s="95"/>
    </row>
    <row r="486" spans="3:10" ht="16.5" customHeight="1">
      <c r="C486" s="95"/>
      <c r="D486" s="95"/>
      <c r="G486" s="95"/>
      <c r="H486" s="95"/>
      <c r="I486" s="95"/>
      <c r="J486" s="95"/>
    </row>
    <row r="487" spans="3:10" ht="16.5" customHeight="1">
      <c r="C487" s="95"/>
      <c r="D487" s="95"/>
      <c r="G487" s="95"/>
      <c r="H487" s="95"/>
      <c r="I487" s="95"/>
      <c r="J487" s="95"/>
    </row>
    <row r="488" spans="3:10" ht="16.5" customHeight="1">
      <c r="C488" s="95"/>
      <c r="D488" s="95"/>
      <c r="G488" s="95"/>
      <c r="H488" s="95"/>
      <c r="I488" s="95"/>
      <c r="J488" s="95"/>
    </row>
    <row r="489" spans="3:4" ht="16.5" customHeight="1">
      <c r="C489" s="95"/>
      <c r="D489" s="95"/>
    </row>
    <row r="490" spans="3:4" ht="16.5" customHeight="1">
      <c r="C490" s="95"/>
      <c r="D490" s="95"/>
    </row>
    <row r="491" spans="1:24" s="18" customFormat="1" ht="16.5" customHeight="1">
      <c r="A491" s="6"/>
      <c r="B491" s="6"/>
      <c r="C491" s="95"/>
      <c r="D491" s="95"/>
      <c r="F491" s="17"/>
      <c r="G491" s="6"/>
      <c r="H491" s="6"/>
      <c r="I491" s="6"/>
      <c r="J491" s="6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6"/>
      <c r="H492" s="6"/>
      <c r="I492" s="6"/>
      <c r="J492" s="6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2:24" s="18" customFormat="1" ht="16.5" customHeight="1">
      <c r="B493" s="6"/>
      <c r="C493" s="95"/>
      <c r="D493" s="95"/>
      <c r="F493" s="17"/>
      <c r="G493" s="6"/>
      <c r="H493" s="6"/>
      <c r="I493" s="6"/>
      <c r="J493" s="6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2:24" s="18" customFormat="1" ht="16.5" customHeight="1">
      <c r="B494" s="6"/>
      <c r="C494" s="95"/>
      <c r="D494" s="95"/>
      <c r="F494" s="17"/>
      <c r="G494" s="6"/>
      <c r="H494" s="6"/>
      <c r="I494" s="6"/>
      <c r="J494" s="6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2:24" s="18" customFormat="1" ht="16.5" customHeight="1">
      <c r="B495" s="6"/>
      <c r="C495" s="95"/>
      <c r="D495" s="95"/>
      <c r="F495" s="17"/>
      <c r="G495" s="6"/>
      <c r="H495" s="6"/>
      <c r="I495" s="6"/>
      <c r="J495" s="6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2:24" s="18" customFormat="1" ht="16.5" customHeight="1">
      <c r="B496" s="6"/>
      <c r="C496" s="95"/>
      <c r="D496" s="95"/>
      <c r="F496" s="17"/>
      <c r="G496" s="6"/>
      <c r="H496" s="6"/>
      <c r="I496" s="6"/>
      <c r="J496" s="6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2:24" s="18" customFormat="1" ht="16.5" customHeight="1">
      <c r="B497" s="6"/>
      <c r="C497" s="95"/>
      <c r="D497" s="95"/>
      <c r="F497" s="17"/>
      <c r="G497" s="6"/>
      <c r="H497" s="6"/>
      <c r="I497" s="6"/>
      <c r="J497" s="6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2:24" s="18" customFormat="1" ht="16.5" customHeight="1"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2:24" s="18" customFormat="1" ht="16.5" customHeight="1"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2:24" s="18" customFormat="1" ht="16.5" customHeight="1"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2:24" s="18" customFormat="1" ht="16.5" customHeight="1"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2:24" s="18" customFormat="1" ht="16.5" customHeight="1">
      <c r="B663" s="6"/>
      <c r="C663" s="95"/>
      <c r="D663" s="95"/>
      <c r="F663" s="17"/>
      <c r="G663" s="6"/>
      <c r="H663" s="6"/>
      <c r="I663" s="6"/>
      <c r="J663" s="6"/>
      <c r="K663" s="6"/>
      <c r="L663" s="25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2:24" s="18" customFormat="1" ht="16.5" customHeight="1">
      <c r="B664" s="6"/>
      <c r="C664" s="95"/>
      <c r="D664" s="95"/>
      <c r="F664" s="17"/>
      <c r="G664" s="6"/>
      <c r="H664" s="6"/>
      <c r="I664" s="6"/>
      <c r="J664" s="6"/>
      <c r="K664" s="6"/>
      <c r="L664" s="25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2:24" s="18" customFormat="1" ht="16.5" customHeight="1">
      <c r="B665" s="6"/>
      <c r="C665" s="95"/>
      <c r="D665" s="95"/>
      <c r="F665" s="17"/>
      <c r="G665" s="6"/>
      <c r="H665" s="6"/>
      <c r="I665" s="6"/>
      <c r="J665" s="6"/>
      <c r="K665" s="6"/>
      <c r="L665" s="25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2:24" s="18" customFormat="1" ht="16.5" customHeight="1">
      <c r="B666" s="6"/>
      <c r="C666" s="95"/>
      <c r="D666" s="95"/>
      <c r="F666" s="17"/>
      <c r="G666" s="6"/>
      <c r="H666" s="6"/>
      <c r="I666" s="6"/>
      <c r="J666" s="6"/>
      <c r="K666" s="6"/>
      <c r="L666" s="25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2:24" s="18" customFormat="1" ht="16.5" customHeight="1">
      <c r="B667" s="6"/>
      <c r="C667" s="95"/>
      <c r="D667" s="95"/>
      <c r="F667" s="17"/>
      <c r="G667" s="6"/>
      <c r="H667" s="6"/>
      <c r="I667" s="6"/>
      <c r="J667" s="6"/>
      <c r="K667" s="6"/>
      <c r="L667" s="25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2:24" s="18" customFormat="1" ht="16.5" customHeight="1">
      <c r="B668" s="6"/>
      <c r="C668" s="95"/>
      <c r="D668" s="95"/>
      <c r="F668" s="17"/>
      <c r="G668" s="6"/>
      <c r="H668" s="6"/>
      <c r="I668" s="6"/>
      <c r="J668" s="6"/>
      <c r="K668" s="6"/>
      <c r="L668" s="25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2:24" s="18" customFormat="1" ht="16.5" customHeight="1">
      <c r="B669" s="6"/>
      <c r="C669" s="95"/>
      <c r="D669" s="95"/>
      <c r="F669" s="17"/>
      <c r="G669" s="6"/>
      <c r="H669" s="6"/>
      <c r="I669" s="6"/>
      <c r="J669" s="6"/>
      <c r="K669" s="6"/>
      <c r="L669" s="25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2:24" s="18" customFormat="1" ht="16.5" customHeight="1">
      <c r="B670" s="6"/>
      <c r="C670" s="95"/>
      <c r="D670" s="95"/>
      <c r="F670" s="17"/>
      <c r="G670" s="6"/>
      <c r="H670" s="6"/>
      <c r="I670" s="6"/>
      <c r="J670" s="6"/>
      <c r="K670" s="6"/>
      <c r="L670" s="25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2:24" s="18" customFormat="1" ht="16.5" customHeight="1">
      <c r="B671" s="6"/>
      <c r="C671" s="95"/>
      <c r="D671" s="95"/>
      <c r="F671" s="17"/>
      <c r="G671" s="6"/>
      <c r="H671" s="6"/>
      <c r="I671" s="6"/>
      <c r="J671" s="6"/>
      <c r="K671" s="6"/>
      <c r="L671" s="25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2:24" s="18" customFormat="1" ht="16.5" customHeight="1">
      <c r="B672" s="6"/>
      <c r="C672" s="95"/>
      <c r="D672" s="95"/>
      <c r="F672" s="17"/>
      <c r="G672" s="6"/>
      <c r="H672" s="6"/>
      <c r="I672" s="6"/>
      <c r="J672" s="6"/>
      <c r="K672" s="6"/>
      <c r="L672" s="25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2:24" s="18" customFormat="1" ht="16.5" customHeight="1">
      <c r="B673" s="6"/>
      <c r="C673" s="95"/>
      <c r="D673" s="95"/>
      <c r="F673" s="17"/>
      <c r="G673" s="6"/>
      <c r="H673" s="6"/>
      <c r="I673" s="6"/>
      <c r="J673" s="6"/>
      <c r="K673" s="6"/>
      <c r="L673" s="25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2:24" s="18" customFormat="1" ht="16.5" customHeight="1">
      <c r="B674" s="6"/>
      <c r="C674" s="95"/>
      <c r="D674" s="95"/>
      <c r="F674" s="17"/>
      <c r="G674" s="6"/>
      <c r="H674" s="6"/>
      <c r="I674" s="6"/>
      <c r="J674" s="6"/>
      <c r="K674" s="6"/>
      <c r="L674" s="25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2:24" s="18" customFormat="1" ht="16.5" customHeight="1">
      <c r="B675" s="6"/>
      <c r="C675" s="95"/>
      <c r="D675" s="95"/>
      <c r="F675" s="17"/>
      <c r="G675" s="6"/>
      <c r="H675" s="6"/>
      <c r="I675" s="6"/>
      <c r="J675" s="6"/>
      <c r="K675" s="6"/>
      <c r="L675" s="25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2:24" s="18" customFormat="1" ht="16.5" customHeight="1">
      <c r="B676" s="6"/>
      <c r="C676" s="95"/>
      <c r="D676" s="95"/>
      <c r="F676" s="17"/>
      <c r="G676" s="6"/>
      <c r="H676" s="6"/>
      <c r="I676" s="6"/>
      <c r="J676" s="6"/>
      <c r="K676" s="6"/>
      <c r="L676" s="25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2:24" s="18" customFormat="1" ht="16.5" customHeight="1">
      <c r="B677" s="6"/>
      <c r="C677" s="95"/>
      <c r="D677" s="95"/>
      <c r="F677" s="17"/>
      <c r="G677" s="6"/>
      <c r="H677" s="6"/>
      <c r="I677" s="6"/>
      <c r="J677" s="6"/>
      <c r="K677" s="6"/>
      <c r="L677" s="25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2:24" s="18" customFormat="1" ht="16.5" customHeight="1">
      <c r="B678" s="6"/>
      <c r="C678" s="95"/>
      <c r="D678" s="95"/>
      <c r="F678" s="17"/>
      <c r="G678" s="6"/>
      <c r="H678" s="6"/>
      <c r="I678" s="6"/>
      <c r="J678" s="6"/>
      <c r="K678" s="6"/>
      <c r="L678" s="25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ht="16.5" customHeight="1">
      <c r="A679" s="18"/>
    </row>
    <row r="680" ht="16.5" customHeight="1">
      <c r="A680" s="18"/>
    </row>
  </sheetData>
  <sheetProtection/>
  <mergeCells count="76">
    <mergeCell ref="F20:F21"/>
    <mergeCell ref="A90:A91"/>
    <mergeCell ref="I435:J435"/>
    <mergeCell ref="B10:C10"/>
    <mergeCell ref="B11:C11"/>
    <mergeCell ref="G20:I20"/>
    <mergeCell ref="F52:F53"/>
    <mergeCell ref="G52:I52"/>
    <mergeCell ref="G130:I130"/>
    <mergeCell ref="F90:F91"/>
    <mergeCell ref="G90:I90"/>
    <mergeCell ref="E20:E21"/>
    <mergeCell ref="A52:A53"/>
    <mergeCell ref="B52:B53"/>
    <mergeCell ref="D52:D53"/>
    <mergeCell ref="E52:E53"/>
    <mergeCell ref="A20:A21"/>
    <mergeCell ref="B20:B21"/>
    <mergeCell ref="D20:D21"/>
    <mergeCell ref="B90:B91"/>
    <mergeCell ref="A208:A209"/>
    <mergeCell ref="F130:F131"/>
    <mergeCell ref="G286:I286"/>
    <mergeCell ref="G208:I208"/>
    <mergeCell ref="E248:E249"/>
    <mergeCell ref="A170:A171"/>
    <mergeCell ref="A130:A131"/>
    <mergeCell ref="E170:E171"/>
    <mergeCell ref="F170:F171"/>
    <mergeCell ref="A248:A249"/>
    <mergeCell ref="D90:D91"/>
    <mergeCell ref="E90:E91"/>
    <mergeCell ref="B248:B249"/>
    <mergeCell ref="B170:B171"/>
    <mergeCell ref="D170:D171"/>
    <mergeCell ref="B130:B131"/>
    <mergeCell ref="D130:D131"/>
    <mergeCell ref="E130:E131"/>
    <mergeCell ref="F208:F209"/>
    <mergeCell ref="B208:B209"/>
    <mergeCell ref="D208:D209"/>
    <mergeCell ref="E208:E209"/>
    <mergeCell ref="E286:E287"/>
    <mergeCell ref="F369:F370"/>
    <mergeCell ref="B328:B329"/>
    <mergeCell ref="G248:I248"/>
    <mergeCell ref="D248:D249"/>
    <mergeCell ref="F248:F249"/>
    <mergeCell ref="F286:F287"/>
    <mergeCell ref="G369:I369"/>
    <mergeCell ref="F328:F329"/>
    <mergeCell ref="G328:I328"/>
    <mergeCell ref="E328:E329"/>
    <mergeCell ref="E369:E370"/>
    <mergeCell ref="G409:I409"/>
    <mergeCell ref="B435:C435"/>
    <mergeCell ref="A286:A287"/>
    <mergeCell ref="B286:B287"/>
    <mergeCell ref="D286:D287"/>
    <mergeCell ref="A328:A329"/>
    <mergeCell ref="D328:D329"/>
    <mergeCell ref="A369:A370"/>
    <mergeCell ref="B369:B370"/>
    <mergeCell ref="D369:D370"/>
    <mergeCell ref="A409:A410"/>
    <mergeCell ref="B409:B410"/>
    <mergeCell ref="D409:D410"/>
    <mergeCell ref="E409:E410"/>
    <mergeCell ref="B431:C431"/>
    <mergeCell ref="F409:F410"/>
    <mergeCell ref="A446:A447"/>
    <mergeCell ref="B446:B447"/>
    <mergeCell ref="D446:D447"/>
    <mergeCell ref="E446:E447"/>
    <mergeCell ref="F446:F447"/>
    <mergeCell ref="G446:I446"/>
  </mergeCells>
  <printOptions/>
  <pageMargins left="0.5511811023622047" right="0.5118110236220472" top="0" bottom="0" header="0" footer="0"/>
  <pageSetup horizontalDpi="600" verticalDpi="600" orientation="landscape" paperSize="9" scale="85" r:id="rId1"/>
  <rowBreaks count="1" manualBreakCount="1">
    <brk id="438" max="14" man="1"/>
  </rowBreaks>
  <colBreaks count="1" manualBreakCount="1">
    <brk id="10" max="4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2018-01-09T11:42:34Z</cp:lastPrinted>
  <dcterms:created xsi:type="dcterms:W3CDTF">2006-09-28T05:33:49Z</dcterms:created>
  <dcterms:modified xsi:type="dcterms:W3CDTF">2023-10-05T03:32:46Z</dcterms:modified>
  <cp:category/>
  <cp:version/>
  <cp:contentType/>
  <cp:contentStatus/>
</cp:coreProperties>
</file>